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05" activeTab="5"/>
  </bookViews>
  <sheets>
    <sheet name="2x2 homogeneity" sheetId="1" r:id="rId1"/>
    <sheet name="3x2 homogeneity" sheetId="2" r:id="rId2"/>
    <sheet name="3x3 homogeneity" sheetId="3" r:id="rId3"/>
    <sheet name="2x1 goodness of fit" sheetId="4" r:id="rId4"/>
    <sheet name="3x1 goodness of fit" sheetId="5" r:id="rId5"/>
    <sheet name="subset homogeneity" sheetId="6" r:id="rId6"/>
    <sheet name="subset gof" sheetId="7" r:id="rId7"/>
    <sheet name="Bishop et al (1)" sheetId="8" r:id="rId8"/>
    <sheet name="Bishop et al (2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<sst xmlns="http://schemas.openxmlformats.org/spreadsheetml/2006/main" count="864" uniqueCount="261">
  <si>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p1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2 to test the separability of these two results.</t>
    </r>
  </si>
  <si>
    <t>We also include Zar's test for comparison.</t>
  </si>
  <si>
    <t>Ths summation takes a difference from table 1 and a difference from table 2 and divides it by the sum of the squares,</t>
  </si>
  <si>
    <t>same population</t>
  </si>
  <si>
    <t>independent population</t>
  </si>
  <si>
    <t>Wilson</t>
  </si>
  <si>
    <t>Gaussian and Wilson versions of the test are given.</t>
  </si>
  <si>
    <t>Gaussian and Wilson intervals are computed for data obtained from independent populations.</t>
  </si>
  <si>
    <t>The preferred test here is the Wilson test, which is more precise than the Gaussian.</t>
  </si>
  <si>
    <t>The Gaussian test compares "within subject" subtests, whereas the Newcombe-Wilson version is optimum for "between subject" subtests.</t>
  </si>
  <si>
    <t>Difference in initial observations</t>
  </si>
  <si>
    <t>(Newcombe-Wilson)</t>
  </si>
  <si>
    <t>p1(1) - p1(2)</t>
  </si>
  <si>
    <r>
      <t>p^(</t>
    </r>
    <r>
      <rPr>
        <sz val="10"/>
        <rFont val="Arial"/>
        <family val="0"/>
      </rPr>
      <t xml:space="preserve">1)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^(2)</t>
    </r>
  </si>
  <si>
    <t>Difference in sample mean (pooled p)</t>
  </si>
  <si>
    <r>
      <t>c</t>
    </r>
    <r>
      <rPr>
        <sz val="10"/>
        <rFont val="Arial"/>
        <family val="0"/>
      </rPr>
      <t>² partials</t>
    </r>
  </si>
  <si>
    <t>Gaussian, using chi-square</t>
  </si>
  <si>
    <t>This spreadsheet contains two 3x1 gof chi-square tests, TEST 1 and TEST 2.</t>
  </si>
  <si>
    <t>Gaussian and Newcombe-Wilson intervals are computed for data obtained from independent populations.</t>
  </si>
  <si>
    <t>The method assumes that both tests come from independent populations.</t>
  </si>
  <si>
    <t>chi-square for homogeneity</t>
  </si>
  <si>
    <t>This spreadsheet contains two 3x2 homogeneity chi-square tests, TEST 1 and TEST 2.</t>
  </si>
  <si>
    <t>variance</t>
  </si>
  <si>
    <t>difference</t>
  </si>
  <si>
    <t>s²</t>
  </si>
  <si>
    <r>
      <t>The method sums squared differences of differences, (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1 -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2)², over the independent variance,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1² +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2², obtaining a </t>
    </r>
    <r>
      <rPr>
        <sz val="10"/>
        <rFont val="Symbol"/>
        <family val="1"/>
      </rPr>
      <t>c</t>
    </r>
    <r>
      <rPr>
        <sz val="10"/>
        <rFont val="Arial"/>
        <family val="0"/>
      </rPr>
      <t>² score.</t>
    </r>
  </si>
  <si>
    <t>This spreadsheet contains two 3x3 homogeneity chi-square tests, TEST 1 and TEST 2.</t>
  </si>
  <si>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 to test the separability of these two results.</t>
    </r>
  </si>
  <si>
    <t>d = p-p^</t>
  </si>
  <si>
    <r>
      <t xml:space="preserve">This chi-square must be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two degrees of freedom.</t>
    </r>
  </si>
  <si>
    <t>Gaussian and Newcombe-Wilson versions of the test are given as is the phi test employing Liebetrau's interval (Bishop et al 1975).</t>
  </si>
  <si>
    <t>chi-square for heterogeneity</t>
  </si>
  <si>
    <t>POOLED TEST</t>
  </si>
  <si>
    <t>Note</t>
  </si>
  <si>
    <r>
      <t xml:space="preserve">We also include Zar's heterogeneity test, which subtracts the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test of pooled cells from the sum of the </t>
    </r>
    <r>
      <rPr>
        <sz val="10"/>
        <rFont val="Symbol"/>
        <family val="1"/>
      </rPr>
      <t>c</t>
    </r>
    <r>
      <rPr>
        <sz val="10"/>
        <rFont val="Arial"/>
        <family val="0"/>
      </rPr>
      <t>² tests.</t>
    </r>
  </si>
  <si>
    <r>
      <t xml:space="preserve">This chi-square is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1 degree of freedom.</t>
    </r>
  </si>
  <si>
    <r>
      <t>c</t>
    </r>
    <r>
      <rPr>
        <sz val="10"/>
        <color indexed="16"/>
        <rFont val="Arial"/>
        <family val="0"/>
      </rPr>
      <t>²</t>
    </r>
  </si>
  <si>
    <r>
      <t>c</t>
    </r>
    <r>
      <rPr>
        <sz val="10"/>
        <color indexed="16"/>
        <rFont val="Arial"/>
        <family val="0"/>
      </rPr>
      <t>²(pool)</t>
    </r>
  </si>
  <si>
    <r>
      <t>c</t>
    </r>
    <r>
      <rPr>
        <sz val="10"/>
        <color indexed="16"/>
        <rFont val="Arial"/>
        <family val="0"/>
      </rPr>
      <t>²(sum)</t>
    </r>
  </si>
  <si>
    <r>
      <t>c</t>
    </r>
    <r>
      <rPr>
        <sz val="10"/>
        <color indexed="16"/>
        <rFont val="Arial"/>
        <family val="0"/>
      </rPr>
      <t>²(het)</t>
    </r>
  </si>
  <si>
    <t>d=p1-p2</t>
  </si>
  <si>
    <t>p3</t>
  </si>
  <si>
    <t>d3</t>
  </si>
  <si>
    <r>
      <t>Heterogeneity</t>
    </r>
    <r>
      <rPr>
        <b/>
        <sz val="10"/>
        <color indexed="60"/>
        <rFont val="Arial"/>
        <family val="2"/>
      </rPr>
      <t xml:space="preserve"> (Zar 1999)</t>
    </r>
  </si>
  <si>
    <r>
      <t>c</t>
    </r>
    <r>
      <rPr>
        <sz val="10"/>
        <color indexed="60"/>
        <rFont val="Arial"/>
        <family val="2"/>
      </rPr>
      <t>²</t>
    </r>
  </si>
  <si>
    <r>
      <t>c</t>
    </r>
    <r>
      <rPr>
        <sz val="10"/>
        <color indexed="60"/>
        <rFont val="Arial"/>
        <family val="2"/>
      </rPr>
      <t>² partials (heterogeneity)</t>
    </r>
  </si>
  <si>
    <r>
      <t>c</t>
    </r>
    <r>
      <rPr>
        <sz val="10"/>
        <color indexed="60"/>
        <rFont val="Arial"/>
        <family val="2"/>
      </rPr>
      <t>²(pool)</t>
    </r>
  </si>
  <si>
    <r>
      <t>c</t>
    </r>
    <r>
      <rPr>
        <sz val="10"/>
        <color indexed="60"/>
        <rFont val="Arial"/>
        <family val="2"/>
      </rPr>
      <t>²(sum)</t>
    </r>
  </si>
  <si>
    <r>
      <t>c</t>
    </r>
    <r>
      <rPr>
        <sz val="10"/>
        <color indexed="60"/>
        <rFont val="Arial"/>
        <family val="2"/>
      </rPr>
      <t>²(het)</t>
    </r>
  </si>
  <si>
    <r>
      <t>Heterogeneity</t>
    </r>
    <r>
      <rPr>
        <b/>
        <sz val="10"/>
        <color indexed="16"/>
        <rFont val="Arial"/>
        <family val="2"/>
      </rPr>
      <t xml:space="preserve"> (Zar 1999)</t>
    </r>
  </si>
  <si>
    <t>This table also includes Zar's test for comparison purposes.</t>
  </si>
  <si>
    <r>
      <t xml:space="preserve">Zar's heterogeneity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>. This gives unreliable results if the prior distribution is different.</t>
    </r>
  </si>
  <si>
    <r>
      <t xml:space="preserve">We also translate the Gaussian into a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score for comparison: this shows why Zar's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 xml:space="preserve"> for our purposes.</t>
    </r>
  </si>
  <si>
    <t>p</t>
  </si>
  <si>
    <t>E</t>
  </si>
  <si>
    <t>p^</t>
  </si>
  <si>
    <t>p1</t>
  </si>
  <si>
    <t>p2</t>
  </si>
  <si>
    <t>c.i.</t>
  </si>
  <si>
    <t>TEST 1</t>
  </si>
  <si>
    <t>TEST 2</t>
  </si>
  <si>
    <t>a</t>
  </si>
  <si>
    <t>¬a</t>
  </si>
  <si>
    <t>b</t>
  </si>
  <si>
    <t>¬b</t>
  </si>
  <si>
    <t>f</t>
  </si>
  <si>
    <r>
      <t>c</t>
    </r>
    <r>
      <rPr>
        <b/>
        <sz val="10"/>
        <rFont val="Arial"/>
        <family val="2"/>
      </rPr>
      <t>²</t>
    </r>
  </si>
  <si>
    <t>Comments</t>
  </si>
  <si>
    <t>References</t>
  </si>
  <si>
    <t>Gaussian</t>
  </si>
  <si>
    <r>
      <t xml:space="preserve">¬ </t>
    </r>
    <r>
      <rPr>
        <b/>
        <sz val="10"/>
        <rFont val="Arial"/>
        <family val="2"/>
      </rPr>
      <t>Enter data in highlighted cells</t>
    </r>
  </si>
  <si>
    <t>Newcombe-Wilson</t>
  </si>
  <si>
    <t>z²/n</t>
  </si>
  <si>
    <t>p'</t>
  </si>
  <si>
    <t>z.s'</t>
  </si>
  <si>
    <t>w+</t>
  </si>
  <si>
    <t>w-</t>
  </si>
  <si>
    <t>significant?</t>
  </si>
  <si>
    <t>z(crit)</t>
  </si>
  <si>
    <r>
      <t xml:space="preserve">¬ </t>
    </r>
    <r>
      <rPr>
        <b/>
        <sz val="10"/>
        <rFont val="Arial"/>
        <family val="2"/>
      </rPr>
      <t>Level the test is carried out at</t>
    </r>
  </si>
  <si>
    <r>
      <t xml:space="preserve">Moreover if the two swings are separable, so are the two tests, the two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values, etc.</t>
    </r>
  </si>
  <si>
    <t>There is only one degree of freedom in each test, hence it is appropriate to plot a single confidence interval.</t>
  </si>
  <si>
    <r>
      <t xml:space="preserve">Note that two swings can be separable even if neither test is significant, </t>
    </r>
    <r>
      <rPr>
        <i/>
        <sz val="10"/>
        <rFont val="Arial"/>
        <family val="2"/>
      </rPr>
      <t>if they move in opposite directions!</t>
    </r>
  </si>
  <si>
    <r>
      <t>c</t>
    </r>
    <r>
      <rPr>
        <sz val="10"/>
        <rFont val="Arial"/>
        <family val="0"/>
      </rPr>
      <t>²</t>
    </r>
  </si>
  <si>
    <t>Wilson intervals</t>
  </si>
  <si>
    <t>2 x 2 chi-square</t>
  </si>
  <si>
    <t>df</t>
  </si>
  <si>
    <t>data</t>
  </si>
  <si>
    <t>dependent variable</t>
  </si>
  <si>
    <r>
      <t>c</t>
    </r>
    <r>
      <rPr>
        <sz val="10"/>
        <rFont val="Arial"/>
        <family val="0"/>
      </rPr>
      <t>²crit</t>
    </r>
  </si>
  <si>
    <t>observed</t>
  </si>
  <si>
    <t>total</t>
  </si>
  <si>
    <t>N</t>
  </si>
  <si>
    <t>independent variable</t>
  </si>
  <si>
    <t>chi-squares</t>
  </si>
  <si>
    <t>all</t>
  </si>
  <si>
    <t>chi-square</t>
  </si>
  <si>
    <t>expected</t>
  </si>
  <si>
    <t>sig level</t>
  </si>
  <si>
    <r>
      <t xml:space="preserve">Cramer's </t>
    </r>
    <r>
      <rPr>
        <sz val="10"/>
        <rFont val="Symbol"/>
        <family val="1"/>
      </rPr>
      <t>f</t>
    </r>
  </si>
  <si>
    <t>p/prod.sum</t>
  </si>
  <si>
    <t>sq</t>
  </si>
  <si>
    <t>p^2/prod.sum</t>
  </si>
  <si>
    <t>triangle</t>
  </si>
  <si>
    <t>c</t>
  </si>
  <si>
    <t>d</t>
  </si>
  <si>
    <t>diagonal</t>
  </si>
  <si>
    <t>c2</t>
  </si>
  <si>
    <t>c2/N</t>
  </si>
  <si>
    <t>s</t>
  </si>
  <si>
    <t>std err</t>
  </si>
  <si>
    <t>Phi</t>
  </si>
  <si>
    <t>e</t>
  </si>
  <si>
    <t>p1-p2</t>
  </si>
  <si>
    <t>diff 2</t>
  </si>
  <si>
    <t>diff 1</t>
  </si>
  <si>
    <t>indep pop</t>
  </si>
  <si>
    <t>TESTS:</t>
  </si>
  <si>
    <t>For plotting</t>
  </si>
  <si>
    <t>This spreadsheet contains two standard 2x2 chi-square tests, TEST 1 and TEST 2.</t>
  </si>
  <si>
    <r>
      <t xml:space="preserve">It then tests the difference of the differences (diff 1, diff 2) </t>
    </r>
    <r>
      <rPr>
        <sz val="10"/>
        <rFont val="Arial"/>
        <family val="0"/>
      </rPr>
      <t xml:space="preserve">to evaluate whether the two tests are </t>
    </r>
    <r>
      <rPr>
        <i/>
        <sz val="10"/>
        <rFont val="Arial"/>
        <family val="2"/>
      </rPr>
      <t>statistically separable.</t>
    </r>
  </si>
  <si>
    <t>diff D</t>
  </si>
  <si>
    <t xml:space="preserve">c.i. </t>
  </si>
  <si>
    <t>D</t>
  </si>
  <si>
    <t>A</t>
  </si>
  <si>
    <t>This spreadsheet contains two 2x1 gof chi-square tests, TEST 1 and TEST 2.</t>
  </si>
  <si>
    <t>d1</t>
  </si>
  <si>
    <t>d2</t>
  </si>
  <si>
    <t>g.o.f. chi-square</t>
  </si>
  <si>
    <t>e'</t>
  </si>
  <si>
    <t>Gaussian serial point test</t>
  </si>
  <si>
    <t>Wilson score intervals, for plotting</t>
  </si>
  <si>
    <t>obs 2</t>
  </si>
  <si>
    <t>obs 3</t>
  </si>
  <si>
    <t>NW serial point test</t>
  </si>
  <si>
    <t>inner interval</t>
  </si>
  <si>
    <t>p1(2) - p1(1)</t>
  </si>
  <si>
    <r>
      <t>p^(2</t>
    </r>
    <r>
      <rPr>
        <sz val="10"/>
        <rFont val="Arial"/>
        <family val="0"/>
      </rPr>
      <t xml:space="preserve">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^(1)</t>
    </r>
  </si>
  <si>
    <t>Point test using chi-square</t>
  </si>
  <si>
    <t>row1</t>
  </si>
  <si>
    <t>row2</t>
  </si>
  <si>
    <t>row3</t>
  </si>
  <si>
    <r>
      <t>c</t>
    </r>
    <r>
      <rPr>
        <sz val="10"/>
        <rFont val="Arial"/>
        <family val="2"/>
      </rPr>
      <t>² partials</t>
    </r>
  </si>
  <si>
    <t>col1</t>
  </si>
  <si>
    <t>col2</t>
  </si>
  <si>
    <t>col3</t>
  </si>
  <si>
    <t>Summed over DV</t>
  </si>
  <si>
    <t>Summed over IV</t>
  </si>
  <si>
    <t>Note this test is not associative, i.e. it obtains a different result if you sum over the DV.</t>
  </si>
  <si>
    <t>p2-p1</t>
  </si>
  <si>
    <t>Newcombe-Wilson point tests</t>
  </si>
  <si>
    <t>wd-</t>
  </si>
  <si>
    <t>wd+</t>
  </si>
  <si>
    <t>2(n+z²)</t>
  </si>
  <si>
    <t>z²-1/n+4npq</t>
  </si>
  <si>
    <t>2-4p</t>
  </si>
  <si>
    <t>wcc+</t>
  </si>
  <si>
    <t>wcc-</t>
  </si>
  <si>
    <t>continuity-corrected</t>
  </si>
  <si>
    <t>u+</t>
  </si>
  <si>
    <t>u-</t>
  </si>
  <si>
    <t>section 3.3</t>
  </si>
  <si>
    <t>section 3.2</t>
  </si>
  <si>
    <t>section 3.4</t>
  </si>
  <si>
    <t>Yates</t>
  </si>
  <si>
    <t>c=1/2n</t>
  </si>
  <si>
    <t>section 4.1</t>
  </si>
  <si>
    <r>
      <t xml:space="preserve">¬ </t>
    </r>
    <r>
      <rPr>
        <b/>
        <sz val="10"/>
        <rFont val="Arial"/>
        <family val="2"/>
      </rPr>
      <t>Enter data in highlighted cells</t>
    </r>
  </si>
  <si>
    <t>lower</t>
  </si>
  <si>
    <t>upper</t>
  </si>
  <si>
    <r>
      <t>Gaussian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</si>
  <si>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r>
      <t>NW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</si>
  <si>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t>continuity-correction</t>
  </si>
  <si>
    <t>Intervals computed using Wallis's algebraic derivation for signed 2 x 2 phi</t>
  </si>
  <si>
    <t>Capable of accepting continuity correction, etc</t>
  </si>
  <si>
    <t>d-</t>
  </si>
  <si>
    <t>d+</t>
  </si>
  <si>
    <r>
      <t>diff(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</si>
  <si>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φ1</t>
  </si>
  <si>
    <t>φ2</t>
  </si>
  <si>
    <t>φ2 - φ1</t>
  </si>
  <si>
    <t>section 4.2</t>
  </si>
  <si>
    <t>https://corplingstats.wordpress.com/2012/03/31/comparing-c2-tests/</t>
  </si>
  <si>
    <r>
      <t xml:space="preserve">Wallis, S.A. (2012), </t>
    </r>
    <r>
      <rPr>
        <i/>
        <sz val="10"/>
        <rFont val="Arial"/>
        <family val="2"/>
      </rPr>
      <t xml:space="preserve">Comparing </t>
    </r>
    <r>
      <rPr>
        <sz val="10"/>
        <rFont val="Symbol"/>
        <family val="1"/>
      </rPr>
      <t>c</t>
    </r>
    <r>
      <rPr>
        <i/>
        <sz val="10"/>
        <rFont val="Arial"/>
        <family val="2"/>
      </rPr>
      <t>² tests for separability</t>
    </r>
  </si>
  <si>
    <t>Chapter 15 in Wallis (2020), sections labelled in red</t>
  </si>
  <si>
    <r>
      <t>Wallis, S.A. 2019. Comparing χ2 Tables for Separability of Distribution and Effect: Meta-Tests for Comparing Homogeneity and Goodness of Fit Contingency Test Outcomes.</t>
    </r>
    <r>
      <rPr>
        <i/>
        <sz val="10"/>
        <rFont val="Arial"/>
        <family val="2"/>
      </rPr>
      <t xml:space="preserve"> Journal of Quantitative Linguistics</t>
    </r>
    <r>
      <rPr>
        <sz val="10"/>
        <rFont val="Arial"/>
        <family val="0"/>
      </rPr>
      <t xml:space="preserve">. 26:4, 330-355. </t>
    </r>
  </si>
  <si>
    <t>Gaussian ('Wald')</t>
  </si>
  <si>
    <r>
      <t>wd+(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</si>
  <si>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wd-(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</si>
  <si>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section 4.3</t>
  </si>
  <si>
    <t>c.c.</t>
  </si>
  <si>
    <r>
      <t>u+(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</si>
  <si>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u-(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</si>
  <si>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ed-(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</si>
  <si>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r>
      <t>ed+(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</si>
  <si>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t>-(u-)</t>
  </si>
  <si>
    <r>
      <t>c</t>
    </r>
    <r>
      <rPr>
        <sz val="10"/>
        <rFont val="Arial"/>
        <family val="0"/>
      </rPr>
      <t>²</t>
    </r>
    <r>
      <rPr>
        <i/>
        <sz val="10"/>
        <rFont val="Arial"/>
        <family val="2"/>
      </rPr>
      <t>d</t>
    </r>
  </si>
  <si>
    <t>section 5.1</t>
  </si>
  <si>
    <t>NW</t>
  </si>
  <si>
    <t>NWcc</t>
  </si>
  <si>
    <t>section 5.2</t>
  </si>
  <si>
    <t>section 4.4</t>
  </si>
  <si>
    <t>serial point test</t>
  </si>
  <si>
    <t>wd-cc</t>
  </si>
  <si>
    <t>wd+cc</t>
  </si>
  <si>
    <r>
      <t>c</t>
    </r>
    <r>
      <rPr>
        <sz val="10"/>
        <rFont val="Arial"/>
        <family val="0"/>
      </rPr>
      <t>²</t>
    </r>
  </si>
  <si>
    <t>SUPERSET</t>
  </si>
  <si>
    <t>SUBSET</t>
  </si>
  <si>
    <t>This spreadsheet contains two standard 2x2 chi-square tests, SUPERTEST and SUBTEST.</t>
  </si>
  <si>
    <t>Visually, if the superset (blue line) is within the interval the point is not significantly different.</t>
  </si>
  <si>
    <t>The two tables are assumed to have a superset-subset relation.</t>
  </si>
  <si>
    <t>The point test is a goodness of fit test against the superset.</t>
  </si>
  <si>
    <t>The gradient test compares the difference in (gradients) assuming the uncertainty is in the subset.</t>
  </si>
  <si>
    <t>Variation (uncertainty) is assumed to be in the subset. The superset is given / known / certain.</t>
  </si>
  <si>
    <t>The multi-point test is summed over variable A as to whether each point is a good fit to the superset.</t>
  </si>
  <si>
    <t>Confidence intervals are plotted for the subset.</t>
  </si>
  <si>
    <t>I/we</t>
  </si>
  <si>
    <t>other</t>
  </si>
  <si>
    <t>who</t>
  </si>
  <si>
    <t>whom</t>
  </si>
  <si>
    <r>
      <t xml:space="preserve">¬ </t>
    </r>
    <r>
      <rPr>
        <b/>
        <sz val="10"/>
        <rFont val="Arial"/>
        <family val="2"/>
      </rPr>
      <t>Level the test is carried out at</t>
    </r>
  </si>
  <si>
    <t>2 x 2 homogeneity and point tests</t>
  </si>
  <si>
    <t>3 x 2 homogeneity</t>
  </si>
  <si>
    <t>3 x 3 (r x c) homogeneity</t>
  </si>
  <si>
    <t>2 x 1 goodness of fit</t>
  </si>
  <si>
    <t>3 x 1 goodness of fit</t>
  </si>
  <si>
    <t>Multi-point test</t>
  </si>
  <si>
    <t>Serial point tests</t>
  </si>
  <si>
    <t>(Wilson score test method)</t>
  </si>
  <si>
    <t>Superset (no interval)</t>
  </si>
  <si>
    <t>Gradient subset test</t>
  </si>
  <si>
    <t>section 6.1</t>
  </si>
  <si>
    <t>section 6.3</t>
  </si>
  <si>
    <t>section 6.2</t>
  </si>
  <si>
    <t>P1</t>
  </si>
  <si>
    <t>P2</t>
  </si>
  <si>
    <t>d - D</t>
  </si>
  <si>
    <t>Subset 'homogeneity' and point tests</t>
  </si>
  <si>
    <t>Subset goodness of fit</t>
  </si>
  <si>
    <t>AJP</t>
  </si>
  <si>
    <t>¬AJP</t>
  </si>
  <si>
    <t>P</t>
  </si>
  <si>
    <t>dD</t>
  </si>
  <si>
    <t>P^</t>
  </si>
  <si>
    <t>continuity corrected</t>
  </si>
  <si>
    <t>Wilson score interval method</t>
  </si>
  <si>
    <t>section 6.4</t>
  </si>
  <si>
    <t>This test compares a goodness of fit test within the subset (fitting p2 against p1) and asks whether this result is consistent with the same comparison in its superset.</t>
  </si>
  <si>
    <r>
      <t xml:space="preserve">Used in Wallis (2019), Investigating the additive probability of repeated language production decisions. </t>
    </r>
    <r>
      <rPr>
        <i/>
        <sz val="10"/>
        <rFont val="Arial"/>
        <family val="2"/>
      </rPr>
      <t>International Journal of Corpus Linguistics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24</t>
    </r>
    <r>
      <rPr>
        <sz val="10"/>
        <rFont val="Arial"/>
        <family val="0"/>
      </rPr>
      <t>:4, 490-521.</t>
    </r>
  </si>
  <si>
    <t>Gaussian and Newcombe-Wilson versions of single point tests are given.</t>
  </si>
  <si>
    <t>Note that in the example data, column 2 is also a subset of column 1 (n(2) = f(1)).</t>
  </si>
  <si>
    <t>In simple terms, it assumes that column 2 in the SUBSET is free to vary, but all other points are not.</t>
  </si>
  <si>
    <t>Use these tests for refining experimental designs and comparing results</t>
  </si>
  <si>
    <t>Gaussian intervals computed using the method of Bishop Fienberg and Holland (1975).</t>
  </si>
  <si>
    <r>
      <t>S(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</si>
  <si>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p²</t>
  </si>
  <si>
    <t>p³</t>
  </si>
  <si>
    <t>p³/prod.sum(p²)</t>
  </si>
  <si>
    <t>p²/prod.sum</t>
  </si>
  <si>
    <t>See Wallis (2020), Chapter 15, section 4.2.</t>
  </si>
  <si>
    <t>See https://corplingstats.wordpress.com/2019/12/17/confidence-intervals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</si>
</sst>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#,##0.0000"/>
    <numFmt numFmtId="171" formatCode="0.000000"/>
    <numFmt numFmtId="172" formatCode="0.000000000000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Times New Roman"/>
      <family val="0"/>
    </font>
    <font>
      <sz val="9.5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0"/>
      <color indexed="16"/>
      <name val="Symbol"/>
      <family val="1"/>
    </font>
    <font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Symbol"/>
      <family val="1"/>
    </font>
    <font>
      <i/>
      <sz val="10"/>
      <color indexed="60"/>
      <name val="Arial"/>
      <family val="2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168" fontId="1" fillId="3" borderId="0" xfId="0" applyNumberFormat="1" applyFont="1" applyFill="1" applyAlignment="1">
      <alignment/>
    </xf>
    <xf numFmtId="168" fontId="1" fillId="3" borderId="3" xfId="0" applyNumberFormat="1" applyFont="1" applyFill="1" applyBorder="1" applyAlignment="1">
      <alignment/>
    </xf>
    <xf numFmtId="168" fontId="1" fillId="3" borderId="4" xfId="0" applyNumberFormat="1" applyFont="1" applyFill="1" applyBorder="1" applyAlignment="1">
      <alignment/>
    </xf>
    <xf numFmtId="10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2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3" borderId="0" xfId="0" applyFon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" fillId="3" borderId="0" xfId="0" applyFont="1" applyFill="1" applyBorder="1" applyAlignment="1">
      <alignment/>
    </xf>
    <xf numFmtId="2" fontId="4" fillId="3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0" fontId="1" fillId="3" borderId="1" xfId="0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168" fontId="1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68" fontId="0" fillId="3" borderId="6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168" fontId="0" fillId="3" borderId="7" xfId="0" applyNumberFormat="1" applyFill="1" applyBorder="1" applyAlignment="1">
      <alignment/>
    </xf>
    <xf numFmtId="0" fontId="4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68" fontId="1" fillId="3" borderId="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1" xfId="0" applyNumberFormat="1" applyFont="1" applyBorder="1" applyAlignment="1">
      <alignment/>
    </xf>
    <xf numFmtId="0" fontId="21" fillId="0" borderId="5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2" xfId="0" applyNumberFormat="1" applyFont="1" applyBorder="1" applyAlignment="1">
      <alignment/>
    </xf>
    <xf numFmtId="0" fontId="21" fillId="0" borderId="7" xfId="0" applyNumberFormat="1" applyFont="1" applyBorder="1" applyAlignment="1">
      <alignment/>
    </xf>
    <xf numFmtId="168" fontId="20" fillId="0" borderId="0" xfId="0" applyNumberFormat="1" applyFont="1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0" fillId="0" borderId="4" xfId="0" applyNumberFormat="1" applyBorder="1" applyAlignment="1">
      <alignment/>
    </xf>
    <xf numFmtId="0" fontId="0" fillId="3" borderId="0" xfId="0" applyFill="1" applyBorder="1" applyAlignment="1">
      <alignment/>
    </xf>
    <xf numFmtId="168" fontId="0" fillId="3" borderId="0" xfId="0" applyNumberForma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1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3" fontId="26" fillId="0" borderId="9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2" fontId="25" fillId="3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68" fontId="25" fillId="3" borderId="0" xfId="0" applyNumberFormat="1" applyFont="1" applyFill="1" applyAlignment="1">
      <alignment/>
    </xf>
    <xf numFmtId="2" fontId="29" fillId="3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8" fontId="26" fillId="0" borderId="0" xfId="0" applyNumberFormat="1" applyFont="1" applyFill="1" applyAlignment="1">
      <alignment/>
    </xf>
    <xf numFmtId="0" fontId="26" fillId="0" borderId="1" xfId="0" applyNumberFormat="1" applyFont="1" applyBorder="1" applyAlignment="1">
      <alignment/>
    </xf>
    <xf numFmtId="0" fontId="26" fillId="0" borderId="5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0" fontId="26" fillId="0" borderId="2" xfId="0" applyNumberFormat="1" applyFont="1" applyBorder="1" applyAlignment="1">
      <alignment/>
    </xf>
    <xf numFmtId="0" fontId="26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2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1" fillId="2" borderId="7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5" fillId="3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35" fillId="3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168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0" fontId="1" fillId="5" borderId="3" xfId="0" applyFont="1" applyFill="1" applyBorder="1" applyAlignment="1">
      <alignment/>
    </xf>
    <xf numFmtId="168" fontId="1" fillId="5" borderId="3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168" fontId="1" fillId="5" borderId="4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68" fontId="1" fillId="5" borderId="0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28" fillId="5" borderId="0" xfId="0" applyFont="1" applyFill="1" applyBorder="1" applyAlignment="1">
      <alignment/>
    </xf>
    <xf numFmtId="2" fontId="25" fillId="5" borderId="0" xfId="0" applyNumberFormat="1" applyFont="1" applyFill="1" applyAlignment="1">
      <alignment/>
    </xf>
    <xf numFmtId="168" fontId="25" fillId="5" borderId="0" xfId="0" applyNumberFormat="1" applyFont="1" applyFill="1" applyAlignment="1">
      <alignment/>
    </xf>
    <xf numFmtId="2" fontId="29" fillId="5" borderId="0" xfId="0" applyNumberFormat="1" applyFont="1" applyFill="1" applyAlignment="1">
      <alignment/>
    </xf>
    <xf numFmtId="0" fontId="22" fillId="5" borderId="0" xfId="0" applyFont="1" applyFill="1" applyBorder="1" applyAlignment="1">
      <alignment/>
    </xf>
    <xf numFmtId="2" fontId="20" fillId="5" borderId="0" xfId="0" applyNumberFormat="1" applyFont="1" applyFill="1" applyAlignment="1">
      <alignment/>
    </xf>
    <xf numFmtId="168" fontId="20" fillId="5" borderId="0" xfId="0" applyNumberFormat="1" applyFont="1" applyFill="1" applyAlignment="1">
      <alignment/>
    </xf>
    <xf numFmtId="2" fontId="23" fillId="5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8" fontId="0" fillId="3" borderId="5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0" fontId="0" fillId="3" borderId="7" xfId="0" applyFill="1" applyBorder="1" applyAlignment="1">
      <alignment/>
    </xf>
    <xf numFmtId="2" fontId="4" fillId="3" borderId="9" xfId="0" applyNumberFormat="1" applyFont="1" applyFill="1" applyBorder="1" applyAlignment="1">
      <alignment/>
    </xf>
    <xf numFmtId="168" fontId="1" fillId="3" borderId="6" xfId="0" applyNumberFormat="1" applyFont="1" applyFill="1" applyBorder="1" applyAlignment="1">
      <alignment/>
    </xf>
    <xf numFmtId="168" fontId="1" fillId="3" borderId="7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2" fontId="1" fillId="5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3" borderId="5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0" fillId="3" borderId="0" xfId="0" applyFill="1" applyAlignment="1" quotePrefix="1">
      <alignment/>
    </xf>
    <xf numFmtId="0" fontId="0" fillId="5" borderId="0" xfId="0" applyFill="1" applyAlignment="1" quotePrefix="1">
      <alignment/>
    </xf>
    <xf numFmtId="0" fontId="4" fillId="5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5"/>
          <c:y val="0.227"/>
          <c:w val="0.93875"/>
          <c:h val="0.73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3212303"/>
        <c:axId val="33324484"/>
        <c:axId val="30565109"/>
      </c:bar3DChart>
      <c:catAx>
        <c:axId val="2321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324484"/>
        <c:crosses val="autoZero"/>
        <c:auto val="1"/>
        <c:lblOffset val="100"/>
        <c:noMultiLvlLbl val="0"/>
      </c:catAx>
      <c:valAx>
        <c:axId val="33324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212303"/>
        <c:crossesAt val="1"/>
        <c:crossBetween val="between"/>
        <c:dispUnits/>
      </c:valAx>
      <c:serAx>
        <c:axId val="30565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3244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435"/>
          <c:w val="0.93025"/>
          <c:h val="0.71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1207424"/>
        <c:axId val="11478785"/>
        <c:axId val="15006478"/>
      </c:bar3DChart>
      <c:catAx>
        <c:axId val="1120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1478785"/>
        <c:crosses val="autoZero"/>
        <c:auto val="1"/>
        <c:lblOffset val="100"/>
        <c:noMultiLvlLbl val="0"/>
      </c:catAx>
      <c:valAx>
        <c:axId val="11478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207424"/>
        <c:crossesAt val="1"/>
        <c:crossBetween val="between"/>
        <c:dispUnits/>
      </c:valAx>
      <c:serAx>
        <c:axId val="150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14787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"/>
          <c:w val="0.93825"/>
          <c:h val="0.7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0866487"/>
        <c:axId val="53066828"/>
      </c:lineChart>
      <c:catAx>
        <c:axId val="6086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53066828"/>
        <c:crosses val="autoZero"/>
        <c:auto val="1"/>
        <c:lblOffset val="100"/>
        <c:noMultiLvlLbl val="0"/>
      </c:catAx>
      <c:valAx>
        <c:axId val="530668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6086648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Newcombe-Wilson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31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8780125"/>
        <c:axId val="42815034"/>
      </c:lineChart>
      <c:catAx>
        <c:axId val="1878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42815034"/>
        <c:crosses val="autoZero"/>
        <c:auto val="1"/>
        <c:lblOffset val="100"/>
        <c:noMultiLvlLbl val="0"/>
      </c:catAx>
      <c:valAx>
        <c:axId val="428150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1878012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</c:errBars>
          <c:xVal>
            <c:numRef>
              <c:f>'2x2 homogeneity'!$AH$67:$AJ$67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0.9000000000000001</c:v>
                </c:pt>
                <c:pt idx="1">
                  <c:v>1.9000000000000001</c:v>
                </c:pt>
                <c:pt idx="2">
                  <c:v>2.9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fit'!$AC$13:$AE$13</c:f>
                <c:numCache>
                  <c:ptCount val="3"/>
                  <c:pt idx="0">
                    <c:v>0.06381991634403972</c:v>
                  </c:pt>
                  <c:pt idx="1">
                    <c:v>0.039729971766607086</c:v>
                  </c:pt>
                  <c:pt idx="2">
                    <c:v>-0.07623173149960932</c:v>
                  </c:pt>
                </c:numCache>
              </c:numRef>
            </c:plus>
            <c:minus>
              <c:numRef>
                <c:f>'2x1 goodness of fit'!$AC$14:$AE$14</c:f>
                <c:numCache>
                  <c:ptCount val="3"/>
                  <c:pt idx="0">
                    <c:v>0.0743990416839827</c:v>
                  </c:pt>
                  <c:pt idx="1">
                    <c:v>0.04169286707901365</c:v>
                  </c:pt>
                  <c:pt idx="2">
                    <c:v>-0.0843426823148896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9724531"/>
        <c:axId val="55092312"/>
      </c:scatterChart>
      <c:valAx>
        <c:axId val="1972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2312"/>
        <c:crosses val="autoZero"/>
        <c:crossBetween val="midCat"/>
        <c:dispUnits/>
      </c:valAx>
      <c:valAx>
        <c:axId val="55092312"/>
        <c:scaling>
          <c:orientation val="minMax"/>
          <c:max val="0.3"/>
          <c:min val="-0.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72453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homogeneity'!$P$2</c:f>
              <c:strCache>
                <c:ptCount val="1"/>
                <c:pt idx="0">
                  <c:v>Superset (no interval)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homogeneity'!$Z$4:$Z$5</c:f>
              <c:numCache/>
            </c:numRef>
          </c:xVal>
          <c:yVal>
            <c:numRef>
              <c:f>'subset homogeneity'!$Q$4:$Q$5</c:f>
              <c:numCache/>
            </c:numRef>
          </c:yVal>
          <c:smooth val="0"/>
        </c:ser>
        <c:ser>
          <c:idx val="1"/>
          <c:order val="1"/>
          <c:tx>
            <c:strRef>
              <c:f>'subset homogeneity'!$A$11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homogeneity'!$W$13:$W$14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'subset homogeneity'!$AA$13:$AA$14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xVal>
            <c:numRef>
              <c:f>'subset homogeneity'!$Z$13:$Z$14</c:f>
              <c:numCache/>
            </c:numRef>
          </c:xVal>
          <c:yVal>
            <c:numRef>
              <c:f>'subset homogeneity'!$Q$13:$Q$15</c:f>
              <c:numCache/>
            </c:numRef>
          </c:yVal>
          <c:smooth val="0"/>
        </c:ser>
        <c:axId val="45111417"/>
        <c:axId val="49577510"/>
      </c:scatterChart>
      <c:valAx>
        <c:axId val="45111417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49577510"/>
        <c:crosses val="autoZero"/>
        <c:crossBetween val="midCat"/>
        <c:dispUnits/>
        <c:majorUnit val="1"/>
      </c:valAx>
      <c:valAx>
        <c:axId val="495775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45111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gof'!$A$3</c:f>
              <c:strCache>
                <c:ptCount val="1"/>
                <c:pt idx="0">
                  <c:v>SUPERSET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gof'!$S$4:$S$5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'subset gof'!$A$11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gof'!$P$11:$P$12</c:f>
                <c:numCache>
                  <c:ptCount val="2"/>
                  <c:pt idx="0">
                    <c:v>0</c:v>
                  </c:pt>
                  <c:pt idx="1">
                    <c:v>0.003936043708221565</c:v>
                  </c:pt>
                </c:numCache>
              </c:numRef>
            </c:plus>
            <c:minus>
              <c:numRef>
                <c:f>'subset gof'!$P$13:$Q$13</c:f>
                <c:numCache>
                  <c:ptCount val="2"/>
                  <c:pt idx="0">
                    <c:v>0</c:v>
                  </c:pt>
                  <c:pt idx="1">
                    <c:v>0.0037773369429020265</c:v>
                  </c:pt>
                </c:numCache>
              </c:numRef>
            </c:minus>
            <c:noEndCap val="0"/>
          </c:errBars>
          <c:xVal>
            <c:numRef>
              <c:f>'subset gof'!$S$12:$S$14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gof'!$I$12:$J$12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527855"/>
        <c:axId val="57100068"/>
      </c:scatterChart>
      <c:valAx>
        <c:axId val="40527855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57100068"/>
        <c:crosses val="autoZero"/>
        <c:crossBetween val="midCat"/>
        <c:dispUnits/>
        <c:majorUnit val="1"/>
      </c:valAx>
      <c:valAx>
        <c:axId val="57100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05278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3475"/>
          <c:w val="0.93075"/>
          <c:h val="0.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61802098"/>
        <c:axId val="65229771"/>
        <c:axId val="42680656"/>
      </c:bar3DChart>
      <c:catAx>
        <c:axId val="61802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5229771"/>
        <c:crosses val="autoZero"/>
        <c:auto val="1"/>
        <c:lblOffset val="100"/>
        <c:noMultiLvlLbl val="0"/>
      </c:catAx>
      <c:valAx>
        <c:axId val="65229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802098"/>
        <c:crossesAt val="1"/>
        <c:crossBetween val="between"/>
        <c:dispUnits/>
      </c:valAx>
      <c:serAx>
        <c:axId val="42680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52297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375"/>
          <c:h val="0.88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7977617"/>
        <c:axId val="32382430"/>
      </c:lineChart>
      <c:catAx>
        <c:axId val="1797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32382430"/>
        <c:crosses val="autoZero"/>
        <c:auto val="1"/>
        <c:lblOffset val="100"/>
        <c:noMultiLvlLbl val="0"/>
      </c:catAx>
      <c:valAx>
        <c:axId val="323824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1797761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Newcombe-Wilson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36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plus>
            <c:min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8318407"/>
        <c:axId val="36812700"/>
      </c:lineChart>
      <c:catAx>
        <c:axId val="1831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12700"/>
        <c:crosses val="autoZero"/>
        <c:auto val="1"/>
        <c:lblOffset val="100"/>
        <c:noMultiLvlLbl val="0"/>
      </c:catAx>
      <c:valAx>
        <c:axId val="368127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1840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41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homogeneity'!$AH$64:$AJ$64</c:f>
                <c:numCache>
                  <c:ptCount val="3"/>
                  <c:pt idx="0">
                    <c:v>0.05110939404147399</c:v>
                  </c:pt>
                  <c:pt idx="1">
                    <c:v>0.02428470148460457</c:v>
                  </c:pt>
                  <c:pt idx="2">
                    <c:v>0.05960481624348239</c:v>
                  </c:pt>
                </c:numCache>
              </c:numRef>
            </c:plus>
            <c:minus>
              <c:numRef>
                <c:f>'2x2 homogeneity'!$AH$65:$AJ$65</c:f>
                <c:numCache>
                  <c:ptCount val="3"/>
                  <c:pt idx="0">
                    <c:v>0.054433329800986335</c:v>
                  </c:pt>
                  <c:pt idx="1">
                    <c:v>0.02480984846698315</c:v>
                  </c:pt>
                  <c:pt idx="2">
                    <c:v>0.05681283957206613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homogeneity'!$AH$62:$AJ$62</c:f>
              <c:strCache/>
            </c:strRef>
          </c:cat>
          <c:val>
            <c:numRef>
              <c:f>'2x2 homogeneity'!$AH$63:$AJ$63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803053"/>
        <c:axId val="47330826"/>
      </c:lineChart>
      <c:catAx>
        <c:axId val="8803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47330826"/>
        <c:crosses val="autoZero"/>
        <c:auto val="1"/>
        <c:lblOffset val="100"/>
        <c:noMultiLvlLbl val="0"/>
      </c:catAx>
      <c:valAx>
        <c:axId val="473308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880305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homogeneity'!$W$4:$W$5</c:f>
                <c:numCache>
                  <c:ptCount val="2"/>
                  <c:pt idx="0">
                    <c:v>0.033066074038633264</c:v>
                  </c:pt>
                  <c:pt idx="1">
                    <c:v>0.024466640615485702</c:v>
                  </c:pt>
                </c:numCache>
              </c:numRef>
            </c:plus>
            <c:minus>
              <c:numRef>
                <c:f>'2x2 homogeneity'!$X$7:$X$8</c:f>
                <c:numCache>
                  <c:ptCount val="2"/>
                  <c:pt idx="0">
                    <c:v>0.029381264286085895</c:v>
                  </c:pt>
                  <c:pt idx="1">
                    <c:v>0.019006526482354152</c:v>
                  </c:pt>
                </c:numCache>
              </c:numRef>
            </c:minus>
            <c:noEndCap val="0"/>
          </c:errBars>
          <c:xVal>
            <c:numRef>
              <c:f>'2x2 homogeneity'!$Y$4:$Y$5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homogeneity'!$Q$4:$Q$5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'2x2 homogeneity'!$W$12:$W$13</c:f>
                <c:numCache>
                  <c:ptCount val="2"/>
                  <c:pt idx="0">
                    <c:v>0.011507932009285085</c:v>
                  </c:pt>
                  <c:pt idx="1">
                    <c:v>0.009730524511303865</c:v>
                  </c:pt>
                </c:numCache>
              </c:numRef>
            </c:plus>
            <c:minus>
              <c:numRef>
                <c:f>'2x2 homogeneity'!$X$15:$X$16</c:f>
                <c:numCache>
                  <c:ptCount val="2"/>
                  <c:pt idx="0">
                    <c:v>0.010565084143971268</c:v>
                  </c:pt>
                  <c:pt idx="1">
                    <c:v>0.008597643925048679</c:v>
                  </c:pt>
                </c:numCache>
              </c:numRef>
            </c:minus>
            <c:noEndCap val="0"/>
          </c:errBars>
          <c:xVal>
            <c:numRef>
              <c:f>'2x2 homogeneity'!$Y$12:$Y$13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homogeneity'!$Q$12:$Q$13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1320963"/>
        <c:axId val="12954792"/>
      </c:scatterChart>
      <c:valAx>
        <c:axId val="11320963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12954792"/>
        <c:crosses val="autoZero"/>
        <c:crossBetween val="midCat"/>
        <c:dispUnits/>
        <c:majorUnit val="1"/>
      </c:valAx>
      <c:valAx>
        <c:axId val="12954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1320963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plus>
            <c:min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4194569"/>
        <c:axId val="41876214"/>
      </c:scatterChart>
      <c:valAx>
        <c:axId val="3419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76214"/>
        <c:crosses val="autoZero"/>
        <c:crossBetween val="midCat"/>
        <c:dispUnits/>
      </c:valAx>
      <c:valAx>
        <c:axId val="41876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19456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'3x2 homogeneity'!$Z$4:$Z$6</c:f>
                <c:numCache>
                  <c:ptCount val="3"/>
                  <c:pt idx="0">
                    <c:v>0.13213582526640655</c:v>
                  </c:pt>
                  <c:pt idx="1">
                    <c:v>0.107025697921309</c:v>
                  </c:pt>
                  <c:pt idx="2">
                    <c:v>0.4590066914984718</c:v>
                  </c:pt>
                </c:numCache>
              </c:numRef>
            </c:plus>
            <c:minus>
              <c:numRef>
                <c:f>'3x2 homogeneity'!$Y$4:$Y$6</c:f>
                <c:numCache>
                  <c:ptCount val="3"/>
                  <c:pt idx="0">
                    <c:v>0.11433090152148542</c:v>
                  </c:pt>
                  <c:pt idx="1">
                    <c:v>0.107025697921309</c:v>
                  </c:pt>
                  <c:pt idx="2">
                    <c:v>0.27184125730555825</c:v>
                  </c:pt>
                </c:numCache>
              </c:numRef>
            </c:minus>
            <c:noEndCap val="0"/>
          </c:errBars>
          <c:xVal>
            <c:numRef>
              <c:f>'3x2 homogeneity'!$R$4:$R$6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homogeneity'!$S$4:$S$6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'3x2 homogeneity'!$Z$13:$Z$15</c:f>
                <c:numCache>
                  <c:ptCount val="3"/>
                  <c:pt idx="0">
                    <c:v>0.13213582526640655</c:v>
                  </c:pt>
                  <c:pt idx="1">
                    <c:v>0.28136375277325376</c:v>
                  </c:pt>
                  <c:pt idx="2">
                    <c:v>0.17437410256148475</c:v>
                  </c:pt>
                </c:numCache>
              </c:numRef>
            </c:plus>
            <c:minus>
              <c:numRef>
                <c:f>'3x2 homogeneity'!$Y$13:$Y$15</c:f>
                <c:numCache>
                  <c:ptCount val="3"/>
                  <c:pt idx="0">
                    <c:v>0.11433090152148542</c:v>
                  </c:pt>
                  <c:pt idx="1">
                    <c:v>0.11970144433669194</c:v>
                  </c:pt>
                  <c:pt idx="2">
                    <c:v>0.07535211048168619</c:v>
                  </c:pt>
                </c:numCache>
              </c:numRef>
            </c:minus>
            <c:noEndCap val="0"/>
          </c:errBars>
          <c:xVal>
            <c:numRef>
              <c:f>'3x2 homogeneity'!$R$13:$R$15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homogeneity'!$S$13:$S$15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7519871"/>
        <c:axId val="30649460"/>
      </c:scatterChart>
      <c:valAx>
        <c:axId val="7519871"/>
        <c:scaling>
          <c:orientation val="minMax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60"/>
        <c:crosses val="autoZero"/>
        <c:crossBetween val="midCat"/>
        <c:dispUnits/>
      </c:valAx>
      <c:valAx>
        <c:axId val="306494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51987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22375"/>
          <c:w val="0.937"/>
          <c:h val="0.74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62898661"/>
        <c:axId val="12376226"/>
        <c:axId val="26673211"/>
      </c:bar3DChart>
      <c:catAx>
        <c:axId val="6289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376226"/>
        <c:crosses val="autoZero"/>
        <c:auto val="1"/>
        <c:lblOffset val="100"/>
        <c:noMultiLvlLbl val="0"/>
      </c:catAx>
      <c:valAx>
        <c:axId val="12376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898661"/>
        <c:crossesAt val="1"/>
        <c:crossBetween val="between"/>
        <c:dispUnits/>
      </c:valAx>
      <c:serAx>
        <c:axId val="2667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376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53</xdr:row>
      <xdr:rowOff>85725</xdr:rowOff>
    </xdr:from>
    <xdr:to>
      <xdr:col>11</xdr:col>
      <xdr:colOff>200025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3238500" y="8772525"/>
        <a:ext cx="3419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76200</xdr:rowOff>
    </xdr:from>
    <xdr:to>
      <xdr:col>5</xdr:col>
      <xdr:colOff>200025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71450" y="8763000"/>
        <a:ext cx="29813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285750</xdr:colOff>
      <xdr:row>53</xdr:row>
      <xdr:rowOff>104775</xdr:rowOff>
    </xdr:from>
    <xdr:to>
      <xdr:col>16</xdr:col>
      <xdr:colOff>571500</xdr:colOff>
      <xdr:row>72</xdr:row>
      <xdr:rowOff>9525</xdr:rowOff>
    </xdr:to>
    <xdr:graphicFrame>
      <xdr:nvGraphicFramePr>
        <xdr:cNvPr id="3" name="Chart 5"/>
        <xdr:cNvGraphicFramePr/>
      </xdr:nvGraphicFramePr>
      <xdr:xfrm>
        <a:off x="6743700" y="8791575"/>
        <a:ext cx="342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66675</xdr:colOff>
      <xdr:row>53</xdr:row>
      <xdr:rowOff>104775</xdr:rowOff>
    </xdr:from>
    <xdr:to>
      <xdr:col>22</xdr:col>
      <xdr:colOff>561975</xdr:colOff>
      <xdr:row>72</xdr:row>
      <xdr:rowOff>9525</xdr:rowOff>
    </xdr:to>
    <xdr:graphicFrame>
      <xdr:nvGraphicFramePr>
        <xdr:cNvPr id="4" name="Chart 6"/>
        <xdr:cNvGraphicFramePr/>
      </xdr:nvGraphicFramePr>
      <xdr:xfrm>
        <a:off x="10258425" y="8791575"/>
        <a:ext cx="3829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47625</xdr:colOff>
      <xdr:row>53</xdr:row>
      <xdr:rowOff>95250</xdr:rowOff>
    </xdr:from>
    <xdr:to>
      <xdr:col>29</xdr:col>
      <xdr:colOff>342900</xdr:colOff>
      <xdr:row>72</xdr:row>
      <xdr:rowOff>9525</xdr:rowOff>
    </xdr:to>
    <xdr:graphicFrame>
      <xdr:nvGraphicFramePr>
        <xdr:cNvPr id="5" name="Chart 9"/>
        <xdr:cNvGraphicFramePr/>
      </xdr:nvGraphicFramePr>
      <xdr:xfrm>
        <a:off x="14163675" y="8782050"/>
        <a:ext cx="38385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171450</xdr:colOff>
      <xdr:row>25</xdr:row>
      <xdr:rowOff>66675</xdr:rowOff>
    </xdr:from>
    <xdr:to>
      <xdr:col>33</xdr:col>
      <xdr:colOff>533400</xdr:colOff>
      <xdr:row>45</xdr:row>
      <xdr:rowOff>66675</xdr:rowOff>
    </xdr:to>
    <xdr:graphicFrame>
      <xdr:nvGraphicFramePr>
        <xdr:cNvPr id="6" name="Chart 30"/>
        <xdr:cNvGraphicFramePr/>
      </xdr:nvGraphicFramePr>
      <xdr:xfrm>
        <a:off x="16649700" y="4181475"/>
        <a:ext cx="39052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304800</xdr:colOff>
      <xdr:row>51</xdr:row>
      <xdr:rowOff>152400</xdr:rowOff>
    </xdr:from>
    <xdr:to>
      <xdr:col>44</xdr:col>
      <xdr:colOff>19050</xdr:colOff>
      <xdr:row>76</xdr:row>
      <xdr:rowOff>76200</xdr:rowOff>
    </xdr:to>
    <xdr:graphicFrame>
      <xdr:nvGraphicFramePr>
        <xdr:cNvPr id="7" name="Chart 31"/>
        <xdr:cNvGraphicFramePr/>
      </xdr:nvGraphicFramePr>
      <xdr:xfrm>
        <a:off x="22098000" y="8515350"/>
        <a:ext cx="4438650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419100</xdr:colOff>
      <xdr:row>17</xdr:row>
      <xdr:rowOff>85725</xdr:rowOff>
    </xdr:from>
    <xdr:to>
      <xdr:col>25</xdr:col>
      <xdr:colOff>133350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1049000" y="2905125"/>
        <a:ext cx="3848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49</xdr:row>
      <xdr:rowOff>142875</xdr:rowOff>
    </xdr:from>
    <xdr:to>
      <xdr:col>11</xdr:col>
      <xdr:colOff>285750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314700" y="8181975"/>
        <a:ext cx="3314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50</xdr:row>
      <xdr:rowOff>9525</xdr:rowOff>
    </xdr:from>
    <xdr:to>
      <xdr:col>5</xdr:col>
      <xdr:colOff>219075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209550" y="8210550"/>
        <a:ext cx="2962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49</xdr:row>
      <xdr:rowOff>123825</xdr:rowOff>
    </xdr:from>
    <xdr:to>
      <xdr:col>17</xdr:col>
      <xdr:colOff>66675</xdr:colOff>
      <xdr:row>68</xdr:row>
      <xdr:rowOff>38100</xdr:rowOff>
    </xdr:to>
    <xdr:graphicFrame>
      <xdr:nvGraphicFramePr>
        <xdr:cNvPr id="3" name="Chart 3"/>
        <xdr:cNvGraphicFramePr/>
      </xdr:nvGraphicFramePr>
      <xdr:xfrm>
        <a:off x="6724650" y="8162925"/>
        <a:ext cx="34194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409575</xdr:colOff>
      <xdr:row>50</xdr:row>
      <xdr:rowOff>28575</xdr:rowOff>
    </xdr:from>
    <xdr:to>
      <xdr:col>23</xdr:col>
      <xdr:colOff>104775</xdr:colOff>
      <xdr:row>68</xdr:row>
      <xdr:rowOff>85725</xdr:rowOff>
    </xdr:to>
    <xdr:graphicFrame>
      <xdr:nvGraphicFramePr>
        <xdr:cNvPr id="4" name="Chart 4"/>
        <xdr:cNvGraphicFramePr/>
      </xdr:nvGraphicFramePr>
      <xdr:xfrm>
        <a:off x="10487025" y="8229600"/>
        <a:ext cx="3429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476250</xdr:colOff>
      <xdr:row>26</xdr:row>
      <xdr:rowOff>76200</xdr:rowOff>
    </xdr:from>
    <xdr:to>
      <xdr:col>34</xdr:col>
      <xdr:colOff>200025</xdr:colOff>
      <xdr:row>50</xdr:row>
      <xdr:rowOff>133350</xdr:rowOff>
    </xdr:to>
    <xdr:graphicFrame>
      <xdr:nvGraphicFramePr>
        <xdr:cNvPr id="5" name="Chart 26"/>
        <xdr:cNvGraphicFramePr/>
      </xdr:nvGraphicFramePr>
      <xdr:xfrm>
        <a:off x="16059150" y="4352925"/>
        <a:ext cx="444817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25</xdr:row>
      <xdr:rowOff>28575</xdr:rowOff>
    </xdr:from>
    <xdr:to>
      <xdr:col>24</xdr:col>
      <xdr:colOff>0</xdr:colOff>
      <xdr:row>45</xdr:row>
      <xdr:rowOff>66675</xdr:rowOff>
    </xdr:to>
    <xdr:graphicFrame>
      <xdr:nvGraphicFramePr>
        <xdr:cNvPr id="1" name="Chart 4"/>
        <xdr:cNvGraphicFramePr/>
      </xdr:nvGraphicFramePr>
      <xdr:xfrm>
        <a:off x="10725150" y="4181475"/>
        <a:ext cx="3790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7</xdr:row>
      <xdr:rowOff>152400</xdr:rowOff>
    </xdr:from>
    <xdr:to>
      <xdr:col>25</xdr:col>
      <xdr:colOff>581025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2058650" y="1352550"/>
        <a:ext cx="4029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x2x2-subset-sep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x 2 homogeneity test"/>
    </sheetNames>
    <sheetDataSet>
      <sheetData sheetId="0">
        <row r="12">
          <cell r="T12">
            <v>0.2718412573055582</v>
          </cell>
          <cell r="U12">
            <v>0.45900669149847184</v>
          </cell>
        </row>
        <row r="13">
          <cell r="T13">
            <v>0.2588323988378779</v>
          </cell>
          <cell r="U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workbookViewId="0" topLeftCell="A1">
      <selection activeCell="D2" sqref="D2"/>
    </sheetView>
  </sheetViews>
  <sheetFormatPr defaultColWidth="8.8515625" defaultRowHeight="12.75"/>
  <cols>
    <col min="9" max="9" width="9.7109375" style="0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11.57421875" style="0" customWidth="1"/>
    <col min="19" max="19" width="11.421875" style="0" bestFit="1" customWidth="1"/>
    <col min="20" max="22" width="9.00390625" style="0" bestFit="1" customWidth="1"/>
  </cols>
  <sheetData>
    <row r="1" spans="1:43" ht="18">
      <c r="A1" s="4" t="s">
        <v>221</v>
      </c>
      <c r="L1" s="198"/>
      <c r="M1" s="199" t="s">
        <v>69</v>
      </c>
      <c r="N1" s="198"/>
      <c r="P1" s="15"/>
      <c r="Q1" s="22" t="s">
        <v>71</v>
      </c>
      <c r="R1" s="15"/>
      <c r="S1" s="15"/>
      <c r="T1" s="15"/>
      <c r="Z1" s="22" t="s">
        <v>111</v>
      </c>
      <c r="AA1" s="17"/>
      <c r="AB1" s="17"/>
      <c r="AC1" s="15"/>
      <c r="AE1" s="22" t="s">
        <v>130</v>
      </c>
      <c r="AF1" s="22"/>
      <c r="AG1" s="15"/>
      <c r="AH1" s="15"/>
      <c r="AI1" s="15"/>
      <c r="AP1" s="12"/>
      <c r="AQ1" s="12"/>
    </row>
    <row r="2" spans="8:43" ht="12.75">
      <c r="H2" s="3" t="s">
        <v>20</v>
      </c>
      <c r="L2" s="198"/>
      <c r="M2" s="198" t="s">
        <v>3</v>
      </c>
      <c r="N2" s="198"/>
      <c r="P2" s="15"/>
      <c r="Q2" s="15" t="s">
        <v>4</v>
      </c>
      <c r="R2" s="15"/>
      <c r="S2" s="185" t="s">
        <v>166</v>
      </c>
      <c r="T2" s="15"/>
      <c r="U2" t="s">
        <v>84</v>
      </c>
      <c r="Z2" s="185" t="s">
        <v>181</v>
      </c>
      <c r="AA2" s="17"/>
      <c r="AB2" s="15"/>
      <c r="AC2" s="15"/>
      <c r="AE2" s="185" t="s">
        <v>161</v>
      </c>
      <c r="AF2" s="185"/>
      <c r="AG2" s="15"/>
      <c r="AH2" s="15"/>
      <c r="AI2" s="15"/>
      <c r="AP2" s="12"/>
      <c r="AQ2" s="12"/>
    </row>
    <row r="3" spans="1:43" ht="12.75">
      <c r="A3" s="3" t="s">
        <v>59</v>
      </c>
      <c r="B3" s="3" t="s">
        <v>61</v>
      </c>
      <c r="C3" s="3" t="s">
        <v>62</v>
      </c>
      <c r="F3" t="s">
        <v>54</v>
      </c>
      <c r="H3" s="28" t="s">
        <v>83</v>
      </c>
      <c r="L3" s="198"/>
      <c r="M3" s="200" t="str">
        <f>B3</f>
        <v>a</v>
      </c>
      <c r="N3" s="198"/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t="s">
        <v>75</v>
      </c>
      <c r="V3" t="s">
        <v>76</v>
      </c>
      <c r="W3" t="s">
        <v>159</v>
      </c>
      <c r="X3" t="s">
        <v>160</v>
      </c>
      <c r="Y3">
        <v>0.1</v>
      </c>
      <c r="Z3" s="15"/>
      <c r="AA3" s="198" t="s">
        <v>69</v>
      </c>
      <c r="AB3" s="17" t="s">
        <v>171</v>
      </c>
      <c r="AC3" s="15"/>
      <c r="AE3" s="15" t="s">
        <v>53</v>
      </c>
      <c r="AF3" s="15"/>
      <c r="AG3" s="15" t="s">
        <v>165</v>
      </c>
      <c r="AH3" s="15"/>
      <c r="AI3" s="15"/>
      <c r="AP3" s="12"/>
      <c r="AQ3" s="12"/>
    </row>
    <row r="4" spans="1:43" ht="12.75">
      <c r="A4" s="3" t="s">
        <v>63</v>
      </c>
      <c r="B4" s="106">
        <v>124</v>
      </c>
      <c r="C4" s="156">
        <v>46</v>
      </c>
      <c r="D4" s="157">
        <f>SUM(B4:C4)</f>
        <v>170</v>
      </c>
      <c r="E4" s="2"/>
      <c r="F4" s="1">
        <f>$D4*B$6/$D$6</f>
        <v>87.44855967078189</v>
      </c>
      <c r="G4" s="1">
        <f>$D4*C$6/$D$6</f>
        <v>82.55144032921811</v>
      </c>
      <c r="H4" s="1"/>
      <c r="I4" s="1">
        <f>(B4-F4)^2/F4</f>
        <v>15.277642023723072</v>
      </c>
      <c r="J4" s="1">
        <f>(C4-G4)^2/G4</f>
        <v>16.18394282174054</v>
      </c>
      <c r="L4" s="201" t="s">
        <v>56</v>
      </c>
      <c r="M4" s="202">
        <f>B4/B6</f>
        <v>0.1984</v>
      </c>
      <c r="N4" s="203" t="s">
        <v>61</v>
      </c>
      <c r="P4" s="16" t="s">
        <v>56</v>
      </c>
      <c r="Q4" s="17">
        <f>M4</f>
        <v>0.1984</v>
      </c>
      <c r="R4" s="15">
        <f>$B$17^2/B6</f>
        <v>0.006146315910738519</v>
      </c>
      <c r="S4" s="17">
        <f>(Q4+R4/2)/(1+R4)</f>
        <v>0.20024240487627368</v>
      </c>
      <c r="T4" s="17">
        <f>$B$17*SQRT((Q4*(1-Q4)+R4/4)/B6)/(1+R4)</f>
        <v>0.031223669162359573</v>
      </c>
      <c r="U4" s="17">
        <f>S4+T4</f>
        <v>0.23146607403863326</v>
      </c>
      <c r="V4" s="17">
        <f>S4-T4</f>
        <v>0.1690187357139141</v>
      </c>
      <c r="W4" s="17">
        <f>U4-Q4</f>
        <v>0.033066074038633264</v>
      </c>
      <c r="X4" s="17">
        <f>V4-Q4</f>
        <v>-0.029381264286085895</v>
      </c>
      <c r="Y4">
        <f>1-Y3</f>
        <v>0.9</v>
      </c>
      <c r="Z4" s="59" t="s">
        <v>65</v>
      </c>
      <c r="AA4" s="202">
        <f>I8</f>
        <v>0.1735130535620433</v>
      </c>
      <c r="AB4" s="17">
        <f>AA4</f>
        <v>0.1735130535620433</v>
      </c>
      <c r="AC4" s="59" t="s">
        <v>65</v>
      </c>
      <c r="AE4" s="117">
        <f>M4</f>
        <v>0.1984</v>
      </c>
      <c r="AF4" s="117"/>
      <c r="AG4" s="17">
        <f>1/(2*B6)</f>
        <v>0.0008</v>
      </c>
      <c r="AH4" s="15"/>
      <c r="AI4" s="15"/>
      <c r="AP4" s="12"/>
      <c r="AQ4" s="12"/>
    </row>
    <row r="5" spans="1:43" ht="12.75">
      <c r="A5" s="3" t="s">
        <v>64</v>
      </c>
      <c r="B5" s="109">
        <v>501</v>
      </c>
      <c r="C5" s="158">
        <v>544</v>
      </c>
      <c r="D5" s="159">
        <f>SUM(B5:C5)</f>
        <v>1045</v>
      </c>
      <c r="E5" s="2"/>
      <c r="F5" s="1">
        <f>$D5*B$6/$D$6</f>
        <v>537.551440329218</v>
      </c>
      <c r="G5" s="1">
        <f>$D5*C$6/$D$6</f>
        <v>507.4485596707819</v>
      </c>
      <c r="H5" s="1"/>
      <c r="I5" s="1">
        <f>(B5-F5)^2/F5</f>
        <v>2.4853580325673823</v>
      </c>
      <c r="J5" s="1">
        <f>(C5-G5)^2/G5</f>
        <v>2.632794526024777</v>
      </c>
      <c r="L5" s="201" t="s">
        <v>57</v>
      </c>
      <c r="M5" s="202">
        <f>C4/C6</f>
        <v>0.07796610169491526</v>
      </c>
      <c r="N5" s="203" t="s">
        <v>62</v>
      </c>
      <c r="P5" s="16" t="s">
        <v>57</v>
      </c>
      <c r="Q5" s="17">
        <f>M5</f>
        <v>0.07796610169491526</v>
      </c>
      <c r="R5" s="15">
        <f>$B$17^2/C6</f>
        <v>0.006510927871545041</v>
      </c>
      <c r="S5" s="17">
        <f>(Q5+R5/2)/(1+R5)</f>
        <v>0.08069615876148103</v>
      </c>
      <c r="T5" s="17">
        <f>$B$17*SQRT((Q5*(1-Q5)+R5/4)/C6)/(1+R5)</f>
        <v>0.021736583548919927</v>
      </c>
      <c r="U5" s="17">
        <f>S5+T5</f>
        <v>0.10243274231040096</v>
      </c>
      <c r="V5" s="17">
        <f>S5-T5</f>
        <v>0.05895957521256111</v>
      </c>
      <c r="W5" s="17">
        <f>U5-Q5</f>
        <v>0.024466640615485702</v>
      </c>
      <c r="X5" s="17">
        <f>V5-Q5</f>
        <v>-0.019006526482354152</v>
      </c>
      <c r="Y5">
        <f>Y4+1</f>
        <v>1.9</v>
      </c>
      <c r="Z5" s="16" t="s">
        <v>109</v>
      </c>
      <c r="AA5" s="202">
        <f>'Bishop et al (1)'!D49</f>
        <v>0.0264719725766522</v>
      </c>
      <c r="AB5" s="17">
        <f>'Bishop et al (1)'!T23</f>
        <v>0.2246224476035173</v>
      </c>
      <c r="AC5" s="15" t="s">
        <v>187</v>
      </c>
      <c r="AE5" s="117">
        <f>M5</f>
        <v>0.07796610169491526</v>
      </c>
      <c r="AF5" s="117"/>
      <c r="AG5" s="17">
        <f>1/(2*C6)</f>
        <v>0.000847457627118644</v>
      </c>
      <c r="AH5" s="15"/>
      <c r="AI5" s="15"/>
      <c r="AP5" s="12"/>
      <c r="AQ5" s="12"/>
    </row>
    <row r="6" spans="2:43" ht="12.75">
      <c r="B6" s="112">
        <f>SUM(B4:B5)</f>
        <v>625</v>
      </c>
      <c r="C6" s="160">
        <f>SUM(C4:C5)</f>
        <v>590</v>
      </c>
      <c r="D6" s="113">
        <f>SUM(D4:D5)</f>
        <v>1215</v>
      </c>
      <c r="E6" s="2"/>
      <c r="F6" s="1"/>
      <c r="G6" s="1"/>
      <c r="H6" s="63" t="s">
        <v>83</v>
      </c>
      <c r="I6" s="26">
        <f>SUM(I4:J5)</f>
        <v>36.57973740405577</v>
      </c>
      <c r="J6" s="1"/>
      <c r="L6" s="201" t="s">
        <v>55</v>
      </c>
      <c r="M6" s="202">
        <f>D4/D6</f>
        <v>0.13991769547325103</v>
      </c>
      <c r="N6" s="198"/>
      <c r="P6" s="15" t="str">
        <f>L6</f>
        <v>p^</v>
      </c>
      <c r="Q6" s="17">
        <f>M6</f>
        <v>0.13991769547325103</v>
      </c>
      <c r="R6" s="15">
        <f>$B$17^2/D6</f>
        <v>0.0031616851392687853</v>
      </c>
      <c r="S6" s="17">
        <f>(Q6+R6/2)/(1+R6)</f>
        <v>0.1410525742151338</v>
      </c>
      <c r="T6" s="17">
        <f>$B$17*SQRT((Q6*(1-Q6)+R6/4)/D6)/(1+R6)</f>
        <v>0.019508159702006048</v>
      </c>
      <c r="U6" s="17">
        <f>S6+T6</f>
        <v>0.16056073391713988</v>
      </c>
      <c r="V6" s="17">
        <f>S6-T6</f>
        <v>0.12154441451312777</v>
      </c>
      <c r="W6" s="17"/>
      <c r="X6" s="17"/>
      <c r="Z6" s="17" t="s">
        <v>186</v>
      </c>
      <c r="AA6" s="202"/>
      <c r="AB6" s="17">
        <f>'Bishop et al (1)'!T24</f>
        <v>0.11907972376105697</v>
      </c>
      <c r="AC6" s="15" t="s">
        <v>188</v>
      </c>
      <c r="AE6" s="15"/>
      <c r="AF6" s="15"/>
      <c r="AG6" s="15"/>
      <c r="AH6" s="15"/>
      <c r="AI6" s="15"/>
      <c r="AP6" s="12"/>
      <c r="AQ6" s="12"/>
    </row>
    <row r="7" spans="2:43" ht="12.75">
      <c r="B7" s="5"/>
      <c r="C7" s="5"/>
      <c r="D7" s="5"/>
      <c r="F7" s="1"/>
      <c r="G7" s="1"/>
      <c r="H7" s="64" t="s">
        <v>53</v>
      </c>
      <c r="I7" s="26">
        <f>CHIDIST(I6,1)</f>
        <v>1.4654715420201975E-09</v>
      </c>
      <c r="J7" s="1"/>
      <c r="K7" t="s">
        <v>113</v>
      </c>
      <c r="L7" s="200" t="s">
        <v>115</v>
      </c>
      <c r="M7" s="204">
        <f>M5-M4</f>
        <v>-0.12043389830508473</v>
      </c>
      <c r="N7" s="205">
        <f>M7/M4</f>
        <v>-0.6070256971022416</v>
      </c>
      <c r="P7" s="15"/>
      <c r="Q7" s="22" t="s">
        <v>58</v>
      </c>
      <c r="R7" s="18">
        <f>-$B$17*SQRT(V4*(1-V4)/B6+U5*(1-U5)/C6)</f>
        <v>-0.03823447651081626</v>
      </c>
      <c r="S7" s="21">
        <f>R7/Q4</f>
        <v>-0.19271409531661424</v>
      </c>
      <c r="T7" s="15" t="s">
        <v>151</v>
      </c>
      <c r="U7" s="2"/>
      <c r="X7" s="2">
        <f>-X4</f>
        <v>0.029381264286085895</v>
      </c>
      <c r="Z7" s="15" t="s">
        <v>112</v>
      </c>
      <c r="AA7" s="202">
        <f>'Bishop et al (1)'!F49</f>
        <v>0.05188403602249809</v>
      </c>
      <c r="AB7" s="17">
        <f>AB5-AA4</f>
        <v>0.05110939404147399</v>
      </c>
      <c r="AC7" s="15" t="s">
        <v>191</v>
      </c>
      <c r="AE7" s="15"/>
      <c r="AF7" s="15"/>
      <c r="AG7" s="15"/>
      <c r="AH7" s="15"/>
      <c r="AI7" s="15"/>
      <c r="AP7" s="12"/>
      <c r="AQ7" s="12"/>
    </row>
    <row r="8" spans="2:43" ht="12.75">
      <c r="B8" s="5"/>
      <c r="C8" s="10" t="s">
        <v>70</v>
      </c>
      <c r="D8" s="5"/>
      <c r="H8" s="59" t="s">
        <v>65</v>
      </c>
      <c r="I8" s="18">
        <f>(B4*C5-C4*B5)/SQRT(D4*D5*B6*C6)</f>
        <v>0.1735130535620433</v>
      </c>
      <c r="L8" s="200" t="s">
        <v>58</v>
      </c>
      <c r="M8" s="204">
        <f>$B$17*SQRT(M6*(1-M6)*(1/B6+1/C6))</f>
        <v>0.039027964419830107</v>
      </c>
      <c r="N8" s="205">
        <f>M8/M4</f>
        <v>0.19671353034188563</v>
      </c>
      <c r="P8" s="17"/>
      <c r="Q8" s="17"/>
      <c r="R8" s="18">
        <f>$B$17*SQRT(U4*(1-U4)/B6+V5*(1-V5)/C6)</f>
        <v>0.03813939303728895</v>
      </c>
      <c r="S8" s="21">
        <f>R8/Q4</f>
        <v>0.19223484393794835</v>
      </c>
      <c r="T8" s="17" t="s">
        <v>152</v>
      </c>
      <c r="U8" s="2"/>
      <c r="X8" s="2">
        <f>-X5</f>
        <v>0.019006526482354152</v>
      </c>
      <c r="Z8" s="15"/>
      <c r="AA8" s="202"/>
      <c r="AB8" s="17">
        <f>AB6-AA4</f>
        <v>-0.054433329800986335</v>
      </c>
      <c r="AC8" s="15" t="s">
        <v>192</v>
      </c>
      <c r="AE8" s="15"/>
      <c r="AF8" s="15"/>
      <c r="AG8" s="15"/>
      <c r="AH8" s="15"/>
      <c r="AI8" s="15"/>
      <c r="AP8" s="12"/>
      <c r="AQ8" s="12"/>
    </row>
    <row r="9" spans="2:43" ht="12.75">
      <c r="B9" s="5"/>
      <c r="C9" s="5"/>
      <c r="D9" s="5"/>
      <c r="H9" s="3"/>
      <c r="L9" s="198" t="s">
        <v>77</v>
      </c>
      <c r="M9" s="202"/>
      <c r="N9" s="200" t="b">
        <f>ABS(M7)&gt;M8</f>
        <v>1</v>
      </c>
      <c r="P9" s="15"/>
      <c r="Q9" s="15"/>
      <c r="R9" s="22" t="str">
        <f>IF(M7&gt;R8,"s (p1&lt;p2)",IF(M7&lt;R7,"s (p1&gt;p2)","ns"))</f>
        <v>s (p1&gt;p2)</v>
      </c>
      <c r="S9" s="15"/>
      <c r="T9" s="17"/>
      <c r="Z9" s="15"/>
      <c r="AA9" s="202" t="b">
        <f>ABS(AA4)&gt;AA7</f>
        <v>1</v>
      </c>
      <c r="AB9" s="15" t="b">
        <f>OR(AB5&lt;0,AB6&gt;0)</f>
        <v>1</v>
      </c>
      <c r="AC9" s="15"/>
      <c r="AE9" s="15"/>
      <c r="AF9" s="15"/>
      <c r="AG9" s="15"/>
      <c r="AH9" s="15"/>
      <c r="AI9" s="15"/>
      <c r="AP9" s="12"/>
      <c r="AQ9" s="12"/>
    </row>
    <row r="10" spans="2:43" ht="12.75">
      <c r="B10" s="5"/>
      <c r="C10" s="5"/>
      <c r="D10" s="5"/>
      <c r="H10" s="3"/>
      <c r="I10" s="3"/>
      <c r="K10" s="60"/>
      <c r="L10" s="60"/>
      <c r="M10" s="61"/>
      <c r="N10" s="62"/>
      <c r="P10" s="60"/>
      <c r="Q10" s="60"/>
      <c r="R10" s="60"/>
      <c r="S10" s="60"/>
      <c r="T10" s="61"/>
      <c r="U10" s="60"/>
      <c r="V10" s="60"/>
      <c r="W10" s="60"/>
      <c r="X10" s="60"/>
      <c r="Y10" s="60"/>
      <c r="Z10" s="193"/>
      <c r="AA10" s="194"/>
      <c r="AB10" s="193"/>
      <c r="AC10" s="60"/>
      <c r="AD10" s="55"/>
      <c r="AE10" s="55"/>
      <c r="AF10" s="55"/>
      <c r="AG10" s="55"/>
      <c r="AH10" s="55"/>
      <c r="AI10" s="55"/>
      <c r="AJ10" s="55"/>
      <c r="AK10" s="12"/>
      <c r="AL10" s="12"/>
      <c r="AM10" s="12"/>
      <c r="AN10" s="12"/>
      <c r="AO10" s="12"/>
      <c r="AP10" s="12"/>
      <c r="AQ10" s="12"/>
    </row>
    <row r="11" spans="1:43" ht="12.75">
      <c r="A11" s="3" t="s">
        <v>60</v>
      </c>
      <c r="B11" s="3" t="s">
        <v>61</v>
      </c>
      <c r="C11" s="3" t="s">
        <v>62</v>
      </c>
      <c r="D11" s="5"/>
      <c r="F11" t="s">
        <v>54</v>
      </c>
      <c r="H11" s="28" t="s">
        <v>83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t="s">
        <v>75</v>
      </c>
      <c r="V11" t="s">
        <v>76</v>
      </c>
      <c r="W11" t="s">
        <v>159</v>
      </c>
      <c r="X11" t="s">
        <v>160</v>
      </c>
      <c r="AD11" s="55"/>
      <c r="AE11" s="55"/>
      <c r="AF11" s="55"/>
      <c r="AG11" s="55"/>
      <c r="AH11" s="55"/>
      <c r="AI11" s="55"/>
      <c r="AJ11" s="55"/>
      <c r="AK11" s="239"/>
      <c r="AL11" s="239"/>
      <c r="AM11" s="239"/>
      <c r="AN11" s="12"/>
      <c r="AO11" s="28"/>
      <c r="AP11" s="12"/>
      <c r="AQ11" s="12"/>
    </row>
    <row r="12" spans="1:43" ht="12.75">
      <c r="A12" s="3" t="s">
        <v>63</v>
      </c>
      <c r="B12" s="106">
        <v>355</v>
      </c>
      <c r="C12" s="156">
        <v>200</v>
      </c>
      <c r="D12" s="157">
        <f>SUM(B12:C12)</f>
        <v>555</v>
      </c>
      <c r="E12" s="2"/>
      <c r="F12" s="1">
        <f>$D12*B$14/$D$14</f>
        <v>288.0044437129691</v>
      </c>
      <c r="G12" s="1">
        <f>$D12*C$14/$D$14</f>
        <v>266.9955562870309</v>
      </c>
      <c r="H12" s="1"/>
      <c r="I12" s="1">
        <f>(B12-F12)^2/F12</f>
        <v>15.584497601300768</v>
      </c>
      <c r="J12" s="1">
        <f>(C12-G12)^2/G12</f>
        <v>16.810783762196827</v>
      </c>
      <c r="L12" s="201" t="s">
        <v>56</v>
      </c>
      <c r="M12" s="202">
        <f>B12/B14</f>
        <v>0.11259118300031716</v>
      </c>
      <c r="N12" s="203" t="s">
        <v>61</v>
      </c>
      <c r="P12" s="16" t="s">
        <v>56</v>
      </c>
      <c r="Q12" s="17">
        <f>M12</f>
        <v>0.11259118300031716</v>
      </c>
      <c r="R12" s="15">
        <f>$B$17^2/B14</f>
        <v>0.001218346794865707</v>
      </c>
      <c r="S12" s="17">
        <f>(Q12+R12/2)/(1+R12)</f>
        <v>0.11306260693297407</v>
      </c>
      <c r="T12" s="17">
        <f>$B$17*SQRT((Q12*(1-Q12)+R12/4)/B14)/(1+R12)</f>
        <v>0.01103650807662817</v>
      </c>
      <c r="U12" s="17">
        <f>S12+T12</f>
        <v>0.12409911500960225</v>
      </c>
      <c r="V12" s="17">
        <f>S12-T12</f>
        <v>0.10202609885634589</v>
      </c>
      <c r="W12" s="17">
        <f>U12-Q12</f>
        <v>0.011507932009285085</v>
      </c>
      <c r="X12" s="17">
        <f>V12-Q12</f>
        <v>-0.010565084143971268</v>
      </c>
      <c r="Y12">
        <f>1+Y3</f>
        <v>1.1</v>
      </c>
      <c r="Z12" s="59" t="s">
        <v>65</v>
      </c>
      <c r="AA12" s="202">
        <f>I16</f>
        <v>0.07660057057446955</v>
      </c>
      <c r="AB12" s="17">
        <f>AA12</f>
        <v>0.07660057057446955</v>
      </c>
      <c r="AC12" s="15"/>
      <c r="AE12" s="117">
        <f>M12</f>
        <v>0.11259118300031716</v>
      </c>
      <c r="AF12" s="117"/>
      <c r="AG12" s="17">
        <f>1/(2*B14)</f>
        <v>0.0001585791309863622</v>
      </c>
      <c r="AH12" s="15"/>
      <c r="AI12" s="15"/>
      <c r="AP12" s="12"/>
      <c r="AQ12" s="12"/>
    </row>
    <row r="13" spans="1:43" ht="12.75">
      <c r="A13" s="3" t="s">
        <v>64</v>
      </c>
      <c r="B13" s="109">
        <v>2798</v>
      </c>
      <c r="C13" s="158">
        <v>2723</v>
      </c>
      <c r="D13" s="159">
        <f>SUM(B13:C13)</f>
        <v>5521</v>
      </c>
      <c r="E13" s="2"/>
      <c r="F13" s="1">
        <f>$D13*B$14/$D$14</f>
        <v>2864.995556287031</v>
      </c>
      <c r="G13" s="1">
        <f>$D13*C$14/$D$14</f>
        <v>2656.004443712969</v>
      </c>
      <c r="H13" s="1"/>
      <c r="I13" s="1">
        <f>(B13-F13)^2/F13</f>
        <v>1.5666357849523505</v>
      </c>
      <c r="J13" s="1">
        <f>(C13-G13)^2/G13</f>
        <v>1.6899085288931786</v>
      </c>
      <c r="L13" s="201" t="s">
        <v>57</v>
      </c>
      <c r="M13" s="202">
        <f>C12/C14</f>
        <v>0.06842285323297982</v>
      </c>
      <c r="N13" s="203" t="s">
        <v>62</v>
      </c>
      <c r="P13" s="16" t="s">
        <v>57</v>
      </c>
      <c r="Q13" s="17">
        <f>M13</f>
        <v>0.06842285323297982</v>
      </c>
      <c r="R13" s="15">
        <f>$B$17^2/C14</f>
        <v>0.0013142139733874699</v>
      </c>
      <c r="S13" s="17">
        <f>(Q13+R13/2)/(1+R13)</f>
        <v>0.06898929352610741</v>
      </c>
      <c r="T13" s="17">
        <f>$B$17*SQRT((Q13*(1-Q13)+R13/4)/C14)/(1+R13)</f>
        <v>0.009164084218176272</v>
      </c>
      <c r="U13" s="17">
        <f>S13+T13</f>
        <v>0.07815337774428369</v>
      </c>
      <c r="V13" s="17">
        <f>S13-T13</f>
        <v>0.05982520930793114</v>
      </c>
      <c r="W13" s="17">
        <f>U13-Q13</f>
        <v>0.009730524511303865</v>
      </c>
      <c r="X13" s="17">
        <f>V13-Q13</f>
        <v>-0.008597643925048679</v>
      </c>
      <c r="Y13">
        <f>Y12+1</f>
        <v>2.1</v>
      </c>
      <c r="Z13" s="16" t="s">
        <v>109</v>
      </c>
      <c r="AA13" s="202">
        <f>'Bishop et al (2)'!D49</f>
        <v>0.01245252003317043</v>
      </c>
      <c r="AB13" s="17">
        <f>'Bishop et al (2)'!T23</f>
        <v>0.10088527205907412</v>
      </c>
      <c r="AC13" s="15" t="s">
        <v>187</v>
      </c>
      <c r="AE13" s="117">
        <f>M13</f>
        <v>0.06842285323297982</v>
      </c>
      <c r="AF13" s="117"/>
      <c r="AG13" s="17">
        <f>1/(2*C14)</f>
        <v>0.00017105713308244953</v>
      </c>
      <c r="AH13" s="15"/>
      <c r="AI13" s="15"/>
      <c r="AP13" s="12"/>
      <c r="AQ13" s="12"/>
    </row>
    <row r="14" spans="2:43" ht="12.75">
      <c r="B14" s="91">
        <f>SUM(B12:B13)</f>
        <v>3153</v>
      </c>
      <c r="C14" s="115">
        <f>SUM(C12:C13)</f>
        <v>2923</v>
      </c>
      <c r="D14" s="92">
        <f>SUM(D12:D13)</f>
        <v>6076</v>
      </c>
      <c r="E14" s="2"/>
      <c r="F14" s="1"/>
      <c r="G14" s="1"/>
      <c r="H14" s="63" t="s">
        <v>83</v>
      </c>
      <c r="I14" s="26">
        <f>SUM(I12:J13)</f>
        <v>35.651825677343126</v>
      </c>
      <c r="J14" s="1"/>
      <c r="L14" s="201" t="s">
        <v>55</v>
      </c>
      <c r="M14" s="202">
        <f>D12/D14</f>
        <v>0.09134298880842659</v>
      </c>
      <c r="N14" s="198"/>
      <c r="P14" s="15" t="str">
        <f>L14</f>
        <v>p^</v>
      </c>
      <c r="Q14" s="17">
        <f>M14</f>
        <v>0.09134298880842659</v>
      </c>
      <c r="R14" s="15">
        <f>$B$17^2/D14</f>
        <v>0.0006322329565851834</v>
      </c>
      <c r="S14" s="17">
        <f>(Q14+R14/2)/(1+R14)</f>
        <v>0.09160119199427792</v>
      </c>
      <c r="T14" s="17">
        <f>$B$17*SQRT((Q14*(1-Q14)+R14/4)/D14)/(1+R14)</f>
        <v>0.007246274859013654</v>
      </c>
      <c r="U14" s="17">
        <f>S14+T14</f>
        <v>0.09884746685329157</v>
      </c>
      <c r="V14" s="17">
        <f>S14-T14</f>
        <v>0.08435491713526427</v>
      </c>
      <c r="W14" s="17"/>
      <c r="X14" s="17"/>
      <c r="Z14" s="15" t="s">
        <v>69</v>
      </c>
      <c r="AA14" s="198"/>
      <c r="AB14" s="17">
        <f>'Bishop et al (2)'!T24</f>
        <v>0.0517907221074864</v>
      </c>
      <c r="AC14" s="15" t="s">
        <v>188</v>
      </c>
      <c r="AE14" s="15"/>
      <c r="AF14" s="15"/>
      <c r="AG14" s="15"/>
      <c r="AH14" s="15"/>
      <c r="AI14" s="15"/>
      <c r="AP14" s="12"/>
      <c r="AQ14" s="12"/>
    </row>
    <row r="15" spans="6:43" ht="12.75">
      <c r="F15" s="1"/>
      <c r="G15" s="1"/>
      <c r="H15" s="64" t="s">
        <v>53</v>
      </c>
      <c r="I15" s="26">
        <f>CHIDIST(I14,1)</f>
        <v>2.3592667555057436E-09</v>
      </c>
      <c r="J15" s="1"/>
      <c r="K15" t="s">
        <v>113</v>
      </c>
      <c r="L15" s="200" t="s">
        <v>114</v>
      </c>
      <c r="M15" s="204">
        <f>M13-M12</f>
        <v>-0.04416832976733734</v>
      </c>
      <c r="N15" s="205">
        <f>M15/M12</f>
        <v>-0.39228941903215386</v>
      </c>
      <c r="P15" s="15"/>
      <c r="Q15" s="22" t="s">
        <v>58</v>
      </c>
      <c r="R15" s="18">
        <f>-$B$17*SQRT(V12*(1-V12)/B14+U13*(1-U13)/C14)</f>
        <v>-0.014363290369350554</v>
      </c>
      <c r="S15" s="21">
        <f>R15/Q12</f>
        <v>-0.12757029446355578</v>
      </c>
      <c r="T15" s="15" t="s">
        <v>151</v>
      </c>
      <c r="U15" s="2"/>
      <c r="X15" s="2">
        <f>-X12</f>
        <v>0.010565084143971268</v>
      </c>
      <c r="Z15" s="15" t="s">
        <v>112</v>
      </c>
      <c r="AA15" s="202">
        <f>'Bishop et al (2)'!F49</f>
        <v>0.02440645464183242</v>
      </c>
      <c r="AB15" s="17">
        <f>AB13-AA12</f>
        <v>0.02428470148460457</v>
      </c>
      <c r="AC15" s="15" t="s">
        <v>191</v>
      </c>
      <c r="AE15" s="15"/>
      <c r="AF15" s="15"/>
      <c r="AG15" s="15"/>
      <c r="AH15" s="15"/>
      <c r="AI15" s="15"/>
      <c r="AK15" s="15" t="s">
        <v>150</v>
      </c>
      <c r="AL15" s="15"/>
      <c r="AM15" s="15"/>
      <c r="AN15" s="15"/>
      <c r="AO15" s="15" t="s">
        <v>202</v>
      </c>
      <c r="AP15" s="15"/>
      <c r="AQ15" s="12"/>
    </row>
    <row r="16" spans="1:43" ht="12.75">
      <c r="A16" s="3" t="s">
        <v>53</v>
      </c>
      <c r="B16" s="25">
        <v>0.05</v>
      </c>
      <c r="C16" s="10" t="s">
        <v>79</v>
      </c>
      <c r="D16" s="3"/>
      <c r="H16" s="59" t="s">
        <v>65</v>
      </c>
      <c r="I16" s="18">
        <f>(B12*C13-C12*B13)/SQRT(D12*D13*B14*C14)</f>
        <v>0.07660057057446955</v>
      </c>
      <c r="L16" s="200" t="s">
        <v>58</v>
      </c>
      <c r="M16" s="204">
        <f>$B$17*SQRT(M14*(1-M14)*(1/B14+1/C14))</f>
        <v>0.014498315204722096</v>
      </c>
      <c r="N16" s="205">
        <f>M16/M12</f>
        <v>0.12876954321264442</v>
      </c>
      <c r="P16" s="17"/>
      <c r="Q16" s="17"/>
      <c r="R16" s="18">
        <f>$B$17*SQRT(U12*(1-U12)/B14+V13*(1-V13)/C14)</f>
        <v>0.01436495667213286</v>
      </c>
      <c r="S16" s="21">
        <f>R16/Q12</f>
        <v>0.12758509404854904</v>
      </c>
      <c r="T16" s="17" t="s">
        <v>152</v>
      </c>
      <c r="U16" s="2"/>
      <c r="X16" s="2">
        <f>-X13</f>
        <v>0.008597643925048679</v>
      </c>
      <c r="Z16" s="15"/>
      <c r="AA16" s="202"/>
      <c r="AB16" s="17">
        <f>AB14-AA12</f>
        <v>-0.02480984846698315</v>
      </c>
      <c r="AC16" s="15" t="s">
        <v>192</v>
      </c>
      <c r="AE16" s="185" t="s">
        <v>163</v>
      </c>
      <c r="AF16" s="185"/>
      <c r="AG16" s="17"/>
      <c r="AH16" s="15"/>
      <c r="AI16" s="15" t="s">
        <v>164</v>
      </c>
      <c r="AK16" s="185" t="s">
        <v>162</v>
      </c>
      <c r="AL16" s="15"/>
      <c r="AM16" s="15"/>
      <c r="AN16" s="15"/>
      <c r="AO16" s="15"/>
      <c r="AP16" s="15"/>
      <c r="AQ16" s="12"/>
    </row>
    <row r="17" spans="1:43" ht="12.75">
      <c r="A17" s="3" t="s">
        <v>78</v>
      </c>
      <c r="B17" s="13">
        <f>NORMSINV(1-(B16/2))</f>
        <v>1.9599610823206604</v>
      </c>
      <c r="L17" s="198" t="s">
        <v>77</v>
      </c>
      <c r="M17" s="202"/>
      <c r="N17" s="200" t="b">
        <f>ABS(M15)&gt;M16</f>
        <v>1</v>
      </c>
      <c r="P17" s="15"/>
      <c r="Q17" s="15"/>
      <c r="R17" s="22" t="str">
        <f>IF(M15&gt;R16,"s (p1&lt;p2)",IF(M15&lt;R15,"s (p1&gt;p2)","ns"))</f>
        <v>s (p1&gt;p2)</v>
      </c>
      <c r="S17" s="15"/>
      <c r="T17" s="17"/>
      <c r="Z17" s="15"/>
      <c r="AA17" s="202" t="b">
        <f>ABS(AA12)&gt;AA15</f>
        <v>1</v>
      </c>
      <c r="AB17" s="15" t="b">
        <f>OR(AB13&lt;0,AB14&gt;0)</f>
        <v>1</v>
      </c>
      <c r="AC17" s="15"/>
      <c r="AE17" s="15" t="s">
        <v>55</v>
      </c>
      <c r="AF17" s="15" t="s">
        <v>109</v>
      </c>
      <c r="AG17" s="17" t="s">
        <v>104</v>
      </c>
      <c r="AH17" s="63" t="s">
        <v>83</v>
      </c>
      <c r="AI17" s="63" t="s">
        <v>83</v>
      </c>
      <c r="AK17" s="238" t="s">
        <v>151</v>
      </c>
      <c r="AL17" s="238" t="s">
        <v>152</v>
      </c>
      <c r="AM17" s="238" t="s">
        <v>149</v>
      </c>
      <c r="AN17" s="15"/>
      <c r="AO17" s="63" t="s">
        <v>83</v>
      </c>
      <c r="AP17" s="15"/>
      <c r="AQ17" s="12"/>
    </row>
    <row r="18" spans="5:43" ht="12.75">
      <c r="E18" s="2"/>
      <c r="L18" s="12"/>
      <c r="M18" s="12"/>
      <c r="N18" s="12"/>
      <c r="P18" s="12"/>
      <c r="Q18" s="12"/>
      <c r="R18" s="12"/>
      <c r="S18" s="12"/>
      <c r="T18" s="14"/>
      <c r="Y18" s="12"/>
      <c r="Z18" s="12"/>
      <c r="AA18" s="14"/>
      <c r="AC18" s="12"/>
      <c r="AE18" s="17">
        <f>(B4+B12)/(B6+B14)</f>
        <v>0.12678665960825833</v>
      </c>
      <c r="AF18" s="17">
        <f>SQRT(AF21)</f>
        <v>0.014568872535772973</v>
      </c>
      <c r="AG18" s="17">
        <f>AG4+AG12</f>
        <v>0.0009585791309863623</v>
      </c>
      <c r="AH18" s="17">
        <f>(AE4-AE12)^2/AF21</f>
        <v>34.69061043330147</v>
      </c>
      <c r="AI18" s="17">
        <f>MAX(0,ABS(AE4-AE12)-AG18)^2/AF21</f>
        <v>33.91987483451246</v>
      </c>
      <c r="AK18" s="169">
        <f>-$B$17*SQRT(V4*(1-V4)/B6+U12*(1-U12)/B14)</f>
        <v>-0.031554574790022986</v>
      </c>
      <c r="AL18" s="169">
        <f>$B$17*SQRT(U4*(1-U4)/B6+V12*(1-V12)/B14)</f>
        <v>0.03471291193918437</v>
      </c>
      <c r="AM18" s="169">
        <f>AE12-AE4</f>
        <v>-0.08580881699968283</v>
      </c>
      <c r="AN18" s="22" t="str">
        <f>IF(AM18&gt;AL18,"s+",IF(AM18&lt;AK18,"s-","ns"))</f>
        <v>s-</v>
      </c>
      <c r="AO18" s="17">
        <f>(AM18/(AK18/$B$17))^2</f>
        <v>28.40756837043668</v>
      </c>
      <c r="AP18" s="15"/>
      <c r="AQ18" s="12"/>
    </row>
    <row r="19" spans="10:43" ht="12.75">
      <c r="J19" s="3" t="s">
        <v>117</v>
      </c>
      <c r="K19" s="225"/>
      <c r="L19" s="226" t="s">
        <v>121</v>
      </c>
      <c r="M19" s="213">
        <f>M15-M7</f>
        <v>0.0762655685377474</v>
      </c>
      <c r="N19" s="226" t="s">
        <v>116</v>
      </c>
      <c r="P19" s="227"/>
      <c r="Q19" s="19" t="s">
        <v>58</v>
      </c>
      <c r="R19" s="19">
        <f>SQRT(R16^2+R7^2)</f>
        <v>0.040843936811336086</v>
      </c>
      <c r="S19" s="23" t="str">
        <f>N19</f>
        <v>indep pop</v>
      </c>
      <c r="T19" s="228"/>
      <c r="U19" s="7"/>
      <c r="Z19" s="195" t="s">
        <v>177</v>
      </c>
      <c r="AA19" s="204">
        <f>AA12-AA4</f>
        <v>-0.09691248298757375</v>
      </c>
      <c r="AB19" s="18">
        <f>-SQRT((AB6-AA4)^2+(AB13-AA12)^2)</f>
        <v>-0.05960481624348239</v>
      </c>
      <c r="AC19" s="15" t="s">
        <v>194</v>
      </c>
      <c r="AE19" s="17">
        <f>(C4+C12)/(C6+C14)</f>
        <v>0.07002561912894961</v>
      </c>
      <c r="AF19" s="17">
        <f>SQRT(AF22)</f>
        <v>0.011517616992854128</v>
      </c>
      <c r="AG19" s="17">
        <f>AG5+AG13</f>
        <v>0.0010185147602010936</v>
      </c>
      <c r="AH19" s="17">
        <f>(AE5-AE13)^2/AF22</f>
        <v>0.6865421364846944</v>
      </c>
      <c r="AI19" s="17">
        <f>MAX(0,ABS(AE5-AE13)-AG19)^2/AF22</f>
        <v>0.5478181005035262</v>
      </c>
      <c r="AK19" s="169">
        <f>-$B$17*SQRT(V5*(1-V5)/C6+U13*(1-U13)/C14)</f>
        <v>-0.021352544489814676</v>
      </c>
      <c r="AL19" s="169">
        <f>$B$17*SQRT(U5*(1-U5)/C6+V13*(1-V13)/C14)</f>
        <v>0.025933298750241175</v>
      </c>
      <c r="AM19" s="169">
        <f>AE13-AE5</f>
        <v>-0.009543248461935439</v>
      </c>
      <c r="AN19" s="22" t="str">
        <f>IF(AM19&gt;AL19,"s+",IF(AM19&lt;AK19,"s-","ns"))</f>
        <v>ns</v>
      </c>
      <c r="AO19" s="15">
        <f>(AM19/(AK19/$B$17))^2</f>
        <v>0.7673404403820373</v>
      </c>
      <c r="AP19" s="15"/>
      <c r="AQ19" s="12"/>
    </row>
    <row r="20" spans="11:42" ht="12.75">
      <c r="K20" s="225"/>
      <c r="L20" s="226" t="s">
        <v>122</v>
      </c>
      <c r="M20" s="213">
        <f>SQRT(M16^2+M8^2)</f>
        <v>0.0416339182702157</v>
      </c>
      <c r="N20" s="226" t="b">
        <f>ABS(M19)&gt;M20</f>
        <v>1</v>
      </c>
      <c r="P20" s="229"/>
      <c r="Q20" s="230"/>
      <c r="R20" s="20">
        <f>-SQRT(R15^2+R8^2)</f>
        <v>-0.04075435450951325</v>
      </c>
      <c r="S20" s="24" t="str">
        <f>IF($M$19&lt;R20,"s (diff 2 &lt; 1)",IF($M$19&gt;R19,"s (diff 2 &gt; 1)","ns"))</f>
        <v>s (diff 2 &gt; 1)</v>
      </c>
      <c r="T20" s="231"/>
      <c r="U20" s="7"/>
      <c r="Z20" s="15" t="s">
        <v>112</v>
      </c>
      <c r="AA20" s="204">
        <f>SQRT(AA7^2+AA15^2)</f>
        <v>0.05733784284543414</v>
      </c>
      <c r="AB20" s="18">
        <f>SQRT((AB5-AA4)^2+(AB14-AA12)^2)</f>
        <v>0.05681283957206613</v>
      </c>
      <c r="AC20" s="15" t="s">
        <v>193</v>
      </c>
      <c r="AE20" s="17"/>
      <c r="AF20" s="168" t="s">
        <v>24</v>
      </c>
      <c r="AG20" s="17"/>
      <c r="AH20" s="17"/>
      <c r="AI20" s="15"/>
      <c r="AK20" s="15"/>
      <c r="AL20" s="15"/>
      <c r="AM20" s="15"/>
      <c r="AN20" s="15"/>
      <c r="AO20" s="15"/>
      <c r="AP20" s="15"/>
    </row>
    <row r="21" spans="1:42" ht="12.75">
      <c r="A21" s="120" t="s">
        <v>43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P21" s="12"/>
      <c r="Q21" s="12"/>
      <c r="R21" s="12"/>
      <c r="S21" s="12"/>
      <c r="T21" s="12"/>
      <c r="Z21" s="18"/>
      <c r="AA21" s="198" t="b">
        <f>OR(AA19&lt;-AA20,AA19&gt;AA20)</f>
        <v>1</v>
      </c>
      <c r="AB21" s="15" t="b">
        <f>OR(AA19&lt;AB19,AA19&gt;AB20)</f>
        <v>1</v>
      </c>
      <c r="AC21" s="18"/>
      <c r="AE21" s="17"/>
      <c r="AF21" s="17">
        <f>(AE18*(1-AE18))*(1/B6+1/B14)</f>
        <v>0.00021225204696360001</v>
      </c>
      <c r="AG21" s="17"/>
      <c r="AH21" s="18">
        <f>SUM(AH18:AH20)</f>
        <v>35.37715256978617</v>
      </c>
      <c r="AI21" s="18">
        <f>SUM(AI18:AI20)</f>
        <v>34.46769293501599</v>
      </c>
      <c r="AK21" s="15"/>
      <c r="AL21" s="15"/>
      <c r="AM21" s="15"/>
      <c r="AN21" s="15"/>
      <c r="AO21" s="17">
        <f>AO18+AO19</f>
        <v>29.174908810818717</v>
      </c>
      <c r="AP21" s="15"/>
    </row>
    <row r="22" spans="1:42" ht="12.75">
      <c r="A22" s="123" t="s">
        <v>32</v>
      </c>
      <c r="B22" s="135"/>
      <c r="C22" s="135"/>
      <c r="D22" s="135"/>
      <c r="E22" s="135"/>
      <c r="F22" s="135" t="s">
        <v>54</v>
      </c>
      <c r="G22" s="135"/>
      <c r="H22" s="136" t="s">
        <v>44</v>
      </c>
      <c r="I22" s="135"/>
      <c r="J22" s="135"/>
      <c r="K22" s="135"/>
      <c r="L22" s="212" t="s">
        <v>83</v>
      </c>
      <c r="M22" s="213">
        <f>(M19/(M20/B17))^2</f>
        <v>12.890131548575463</v>
      </c>
      <c r="N22" s="55"/>
      <c r="O22" s="88"/>
      <c r="P22" s="88"/>
      <c r="Q22" s="57" t="s">
        <v>14</v>
      </c>
      <c r="R22" s="55"/>
      <c r="S22" s="88"/>
      <c r="U22" s="55"/>
      <c r="V22" s="55"/>
      <c r="W22" s="55"/>
      <c r="X22" s="55"/>
      <c r="Z22" s="18"/>
      <c r="AA22" s="204"/>
      <c r="AB22" s="18"/>
      <c r="AC22" s="18"/>
      <c r="AE22" s="17"/>
      <c r="AF22" s="17">
        <f>(AE19*(1-AE19))*(1/C6+1/C14)</f>
        <v>0.0001326555011940822</v>
      </c>
      <c r="AG22" s="17"/>
      <c r="AH22" s="18">
        <f>CHIDIST(AH21,2)</f>
        <v>2.079452128173933E-08</v>
      </c>
      <c r="AI22" s="18">
        <f>CHIDIST(AI21,2)</f>
        <v>3.276691670989416E-08</v>
      </c>
      <c r="AK22" s="15"/>
      <c r="AL22" s="15"/>
      <c r="AM22" s="15"/>
      <c r="AN22" s="15"/>
      <c r="AO22" s="17">
        <f>CHIDIST(AO21,2)</f>
        <v>4.621139157514739E-07</v>
      </c>
      <c r="AP22" s="15"/>
    </row>
    <row r="23" spans="1:42" ht="12.75">
      <c r="A23" s="135"/>
      <c r="B23" s="149">
        <f aca="true" t="shared" si="0" ref="B23:D25">B4+B12</f>
        <v>479</v>
      </c>
      <c r="C23" s="150">
        <f t="shared" si="0"/>
        <v>246</v>
      </c>
      <c r="D23" s="151">
        <f t="shared" si="0"/>
        <v>725</v>
      </c>
      <c r="E23" s="135"/>
      <c r="F23" s="152">
        <f>$D23*B$25/$D$25</f>
        <v>375.6754903305445</v>
      </c>
      <c r="G23" s="152">
        <f>$D23*C$25/$D$25</f>
        <v>349.3245096694555</v>
      </c>
      <c r="H23" s="138"/>
      <c r="I23" s="138">
        <f>(B23-F23)^2/F23</f>
        <v>28.418021865200686</v>
      </c>
      <c r="J23" s="138">
        <f>(C23-G23)^2/G23</f>
        <v>30.56170982258132</v>
      </c>
      <c r="K23" s="135"/>
      <c r="L23" s="214" t="s">
        <v>53</v>
      </c>
      <c r="M23" s="204">
        <f>CHIDIST(M22,1)</f>
        <v>0.0003303192156628229</v>
      </c>
      <c r="N23" s="76" t="b">
        <f>M23&lt;0.05</f>
        <v>1</v>
      </c>
      <c r="O23" s="90"/>
      <c r="P23" s="90"/>
      <c r="R23" s="56">
        <f>-$B$17*SQRT(U6*(1-U6)/D6+V14*(1-V14)/D14)</f>
        <v>-0.021793764748320257</v>
      </c>
      <c r="S23" s="90"/>
      <c r="U23" s="55"/>
      <c r="V23" s="55"/>
      <c r="W23" s="55"/>
      <c r="X23" s="55"/>
      <c r="Y23" s="12"/>
      <c r="Z23" s="2"/>
      <c r="AH23" s="15" t="b">
        <f>(AH22&lt;0.05)</f>
        <v>1</v>
      </c>
      <c r="AI23" s="15" t="b">
        <f>(AI22&lt;0.05)</f>
        <v>1</v>
      </c>
      <c r="AK23" s="15"/>
      <c r="AL23" s="15"/>
      <c r="AM23" s="15"/>
      <c r="AN23" s="15"/>
      <c r="AO23" s="15" t="b">
        <f>(AO22&lt;0.05)</f>
        <v>1</v>
      </c>
      <c r="AP23" s="15"/>
    </row>
    <row r="24" spans="1:26" ht="12.75">
      <c r="A24" s="135"/>
      <c r="B24" s="153">
        <f t="shared" si="0"/>
        <v>3299</v>
      </c>
      <c r="C24" s="154">
        <f t="shared" si="0"/>
        <v>3267</v>
      </c>
      <c r="D24" s="151">
        <f t="shared" si="0"/>
        <v>6566</v>
      </c>
      <c r="E24" s="135"/>
      <c r="F24" s="152">
        <f>$D24*B$25/$D$25</f>
        <v>3402.3245096694554</v>
      </c>
      <c r="G24" s="152">
        <f>$D24*C$25/$D$25</f>
        <v>3163.6754903305446</v>
      </c>
      <c r="H24" s="138"/>
      <c r="I24" s="138">
        <f>(B24-F24)^2/F24</f>
        <v>3.137841281186487</v>
      </c>
      <c r="J24" s="138">
        <f>(C24-G24)^2/G24</f>
        <v>3.374541520160133</v>
      </c>
      <c r="K24" s="135"/>
      <c r="L24" s="55"/>
      <c r="M24" s="90"/>
      <c r="N24" s="90"/>
      <c r="O24" s="90"/>
      <c r="P24" s="90"/>
      <c r="Q24" s="79" t="s">
        <v>58</v>
      </c>
      <c r="R24" s="56">
        <f>$B$17*SQRT(V6*(1-V6)/D6+U14*(1-U14)/D14)</f>
        <v>0.019846779183673308</v>
      </c>
      <c r="S24" s="25" t="str">
        <f>IF($R$25&gt;R24,"s (p^(2) &lt; p^(1))",IF($R$25&lt;R23,"s (p^(2) &gt; p^(1))","ns"))</f>
        <v>s (p^(2) &lt; p^(1))</v>
      </c>
      <c r="U24" s="55"/>
      <c r="V24" s="55"/>
      <c r="W24" s="55"/>
      <c r="X24" s="55"/>
      <c r="Y24" s="12"/>
      <c r="Z24" s="2"/>
    </row>
    <row r="25" spans="1:35" ht="12.75">
      <c r="A25" s="135"/>
      <c r="B25" s="151">
        <f t="shared" si="0"/>
        <v>3778</v>
      </c>
      <c r="C25" s="151">
        <f t="shared" si="0"/>
        <v>3513</v>
      </c>
      <c r="D25" s="151">
        <f t="shared" si="0"/>
        <v>7291</v>
      </c>
      <c r="E25" s="135"/>
      <c r="F25" s="135"/>
      <c r="G25" s="135"/>
      <c r="H25" s="215" t="s">
        <v>46</v>
      </c>
      <c r="I25" s="216">
        <f>SUM(I23:J24)</f>
        <v>65.49211448912862</v>
      </c>
      <c r="J25" s="135"/>
      <c r="K25" s="135"/>
      <c r="L25" s="55"/>
      <c r="M25" s="90"/>
      <c r="N25" s="90"/>
      <c r="O25" s="90"/>
      <c r="P25" s="88" t="s">
        <v>13</v>
      </c>
      <c r="R25" s="56">
        <f>M6-M14</f>
        <v>0.04857470666482444</v>
      </c>
      <c r="S25" s="90"/>
      <c r="U25" s="90"/>
      <c r="V25" s="90"/>
      <c r="W25" s="90"/>
      <c r="X25" s="90"/>
      <c r="AE25" s="57"/>
      <c r="AF25" s="57"/>
      <c r="AH25" s="55"/>
      <c r="AI25" s="88"/>
    </row>
    <row r="26" spans="1:32" ht="12.75">
      <c r="A26" s="135"/>
      <c r="B26" s="135"/>
      <c r="C26" s="135"/>
      <c r="D26" s="135"/>
      <c r="E26" s="135"/>
      <c r="F26" s="135"/>
      <c r="G26" s="135"/>
      <c r="H26" s="215" t="s">
        <v>47</v>
      </c>
      <c r="I26" s="216">
        <f>I6+I14</f>
        <v>72.23156308139889</v>
      </c>
      <c r="J26" s="135"/>
      <c r="K26" s="135"/>
      <c r="L26" s="55"/>
      <c r="M26" s="90"/>
      <c r="N26" s="90"/>
      <c r="O26" s="90"/>
      <c r="U26" s="55"/>
      <c r="V26" s="55"/>
      <c r="W26" s="55"/>
      <c r="X26" s="55"/>
      <c r="Z26" s="12"/>
      <c r="AE26" s="90"/>
      <c r="AF26" s="90"/>
    </row>
    <row r="27" spans="1:33" ht="12.75">
      <c r="A27" s="135"/>
      <c r="B27" s="135"/>
      <c r="C27" s="135"/>
      <c r="D27" s="135"/>
      <c r="E27" s="135"/>
      <c r="F27" s="135"/>
      <c r="G27" s="135"/>
      <c r="H27" s="215" t="s">
        <v>48</v>
      </c>
      <c r="I27" s="217">
        <f>I26-I25</f>
        <v>6.739448592270264</v>
      </c>
      <c r="J27" s="135"/>
      <c r="K27" s="135"/>
      <c r="L27" s="55"/>
      <c r="M27" s="90"/>
      <c r="N27" s="90"/>
      <c r="O27" s="90"/>
      <c r="P27" s="15"/>
      <c r="Q27" s="22" t="s">
        <v>71</v>
      </c>
      <c r="R27" s="15"/>
      <c r="S27" s="15"/>
      <c r="T27" s="15"/>
      <c r="U27" s="15"/>
      <c r="V27" s="15"/>
      <c r="W27" s="15"/>
      <c r="X27" s="15"/>
      <c r="Z27" s="12"/>
      <c r="AE27" s="90"/>
      <c r="AF27" s="90"/>
      <c r="AG27" s="79"/>
    </row>
    <row r="28" spans="1:35" ht="12.75">
      <c r="A28" s="135"/>
      <c r="B28" s="135"/>
      <c r="C28" s="135"/>
      <c r="D28" s="135"/>
      <c r="E28" s="135"/>
      <c r="F28" s="135"/>
      <c r="G28" s="135"/>
      <c r="H28" s="218" t="s">
        <v>53</v>
      </c>
      <c r="I28" s="216">
        <f>CHIDIST(I27,1)</f>
        <v>0.009430377429558818</v>
      </c>
      <c r="J28" s="146" t="b">
        <f>I28&lt;0.05</f>
        <v>1</v>
      </c>
      <c r="K28" s="146"/>
      <c r="L28" s="55"/>
      <c r="M28" s="90"/>
      <c r="N28" s="90"/>
      <c r="O28" s="90"/>
      <c r="P28" s="15"/>
      <c r="Q28" s="22" t="s">
        <v>158</v>
      </c>
      <c r="R28" s="15"/>
      <c r="S28" s="15"/>
      <c r="T28" s="15"/>
      <c r="U28" s="15"/>
      <c r="V28" s="15"/>
      <c r="W28" s="15"/>
      <c r="X28" s="15"/>
      <c r="Y28" s="12"/>
      <c r="Z28" s="58"/>
      <c r="AA28" s="58"/>
      <c r="AB28" s="58"/>
      <c r="AC28" s="58"/>
      <c r="AD28" s="12"/>
      <c r="AE28" s="88"/>
      <c r="AF28" s="88"/>
      <c r="AI28" s="90"/>
    </row>
    <row r="29" spans="2:29" ht="15.75">
      <c r="B29" s="11" t="s">
        <v>67</v>
      </c>
      <c r="L29" s="55"/>
      <c r="M29" s="90"/>
      <c r="N29" s="90"/>
      <c r="O29" s="90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2"/>
      <c r="Z29" s="58"/>
      <c r="AA29" s="58"/>
      <c r="AB29" s="58"/>
      <c r="AC29" s="58"/>
    </row>
    <row r="30" spans="2:29" ht="12.75">
      <c r="B30" s="3" t="s">
        <v>252</v>
      </c>
      <c r="L30" s="55"/>
      <c r="M30" s="90"/>
      <c r="N30" s="90"/>
      <c r="O30" s="90"/>
      <c r="P30" s="16" t="s">
        <v>56</v>
      </c>
      <c r="Q30" s="17">
        <f>Q4</f>
        <v>0.1984</v>
      </c>
      <c r="R30" s="17">
        <f>2*(B6+$B$17*$B$17)</f>
        <v>1257.682894888423</v>
      </c>
      <c r="S30" s="17">
        <f>$B$17*$B$17-1/B6+4*B6*M4*(1-M4)</f>
        <v>401.43344744421154</v>
      </c>
      <c r="T30" s="17">
        <f>2-4*M4</f>
        <v>1.2064</v>
      </c>
      <c r="U30" s="169">
        <f>MAX(Q4,MIN(S4+($B$17*SQRT(S30+T30)+1)/R30,1))</f>
        <v>0.23230800666899093</v>
      </c>
      <c r="V30" s="169">
        <f>MIN(Q4,MAX(S4-($B$17*SQRT(S30-T30)+1)/R30,0))</f>
        <v>0.1682706373222697</v>
      </c>
      <c r="W30" s="17">
        <f>U30-Q30</f>
        <v>0.033908006668990937</v>
      </c>
      <c r="X30" s="17">
        <f>V30-Q30</f>
        <v>-0.03012936267773028</v>
      </c>
      <c r="Y30" s="12"/>
      <c r="Z30" s="58"/>
      <c r="AA30" s="58"/>
      <c r="AB30" s="58"/>
      <c r="AC30" s="58"/>
    </row>
    <row r="31" spans="12:25" ht="12.75">
      <c r="L31" s="28"/>
      <c r="M31" s="89"/>
      <c r="N31" s="90"/>
      <c r="O31" s="90"/>
      <c r="P31" s="16" t="s">
        <v>57</v>
      </c>
      <c r="Q31" s="17">
        <f>Q5</f>
        <v>0.07796610169491526</v>
      </c>
      <c r="R31" s="17">
        <f>2*(C6+$B$17*$B$17)</f>
        <v>1187.682894888423</v>
      </c>
      <c r="S31" s="17">
        <f>$B$17*$B$17-1/C6+4*C6*M5*(1-M5)</f>
        <v>173.49398981709294</v>
      </c>
      <c r="T31" s="17">
        <f>2-4*M5</f>
        <v>1.688135593220339</v>
      </c>
      <c r="U31" s="169">
        <f>MAX(Q5,MIN(S5+($B$17*SQRT(S31+T31)+1)/R31,1))</f>
        <v>0.1033801061305436</v>
      </c>
      <c r="V31" s="169">
        <f>MIN(Q5,MAX(S5-($B$17*SQRT(S31-T31)+1)/R31,0))</f>
        <v>0.05822371471564902</v>
      </c>
      <c r="W31" s="17">
        <f>U31-Q31</f>
        <v>0.025414004435628343</v>
      </c>
      <c r="X31" s="17">
        <f>V31-Q31</f>
        <v>-0.019742386979266238</v>
      </c>
      <c r="Y31" s="12"/>
    </row>
    <row r="32" spans="2:42" ht="12.75">
      <c r="B32" t="s">
        <v>119</v>
      </c>
      <c r="L32" s="93"/>
      <c r="M32" s="89"/>
      <c r="N32" s="56"/>
      <c r="O32" s="55"/>
      <c r="P32" s="117"/>
      <c r="Q32" s="22" t="s">
        <v>58</v>
      </c>
      <c r="R32" s="18">
        <f>SQRT(X30^2+W31^2)</f>
        <v>0.03941636864070996</v>
      </c>
      <c r="S32" s="15" t="s">
        <v>76</v>
      </c>
      <c r="T32" s="15"/>
      <c r="U32" s="116"/>
      <c r="V32" s="116"/>
      <c r="W32" s="116"/>
      <c r="X32" s="116"/>
      <c r="Y32" s="12"/>
      <c r="AK32" s="15" t="s">
        <v>158</v>
      </c>
      <c r="AL32" s="15"/>
      <c r="AM32" s="15"/>
      <c r="AN32" s="15"/>
      <c r="AO32" s="15"/>
      <c r="AP32" s="15"/>
    </row>
    <row r="33" spans="2:42" ht="12.75">
      <c r="B33" t="s">
        <v>120</v>
      </c>
      <c r="P33" s="15"/>
      <c r="Q33" s="17"/>
      <c r="R33" s="18">
        <f>-SQRT(X31^2+W30^2)</f>
        <v>-0.03923665072229579</v>
      </c>
      <c r="S33" s="17" t="s">
        <v>75</v>
      </c>
      <c r="T33" s="15"/>
      <c r="U33" s="15"/>
      <c r="V33" s="15"/>
      <c r="W33" s="15"/>
      <c r="X33" s="15"/>
      <c r="Y33" s="12"/>
      <c r="AK33" s="15" t="s">
        <v>203</v>
      </c>
      <c r="AL33" s="15" t="s">
        <v>204</v>
      </c>
      <c r="AM33" s="15" t="s">
        <v>149</v>
      </c>
      <c r="AN33" s="15"/>
      <c r="AO33" s="15"/>
      <c r="AP33" s="15"/>
    </row>
    <row r="34" spans="16:42" ht="12.75">
      <c r="P34" s="15"/>
      <c r="Q34" s="15"/>
      <c r="R34" s="22" t="str">
        <f>IF(M7&lt;R33,"s (p1&gt;p2)",IF(M7&gt;R32,"s (p1&lt;p2)","ns"))</f>
        <v>s (p1&gt;p2)</v>
      </c>
      <c r="S34" s="15"/>
      <c r="T34" s="17"/>
      <c r="U34" s="15"/>
      <c r="V34" s="15"/>
      <c r="W34" s="15"/>
      <c r="X34" s="15"/>
      <c r="Y34" s="12"/>
      <c r="AK34" s="169">
        <f>-SQRT(X30^2+W37^2)</f>
        <v>-0.03231159692861794</v>
      </c>
      <c r="AL34" s="169">
        <f>SQRT(W30^2+X37^2)</f>
        <v>0.035561223332404086</v>
      </c>
      <c r="AM34" s="169">
        <f>AM18</f>
        <v>-0.08580881699968283</v>
      </c>
      <c r="AN34" s="22" t="str">
        <f>IF(AM34&gt;AL34,"s+",IF(AM34&lt;AK34,"s-","ns"))</f>
        <v>s-</v>
      </c>
      <c r="AO34" s="17">
        <f>(AM34/(AK34/$B$17))^2</f>
        <v>27.09205071794244</v>
      </c>
      <c r="AP34" s="15"/>
    </row>
    <row r="35" spans="2:42" ht="12.75">
      <c r="B35" s="3" t="s">
        <v>30</v>
      </c>
      <c r="AK35" s="169">
        <f>-SQRT(X31^2+W38^2)</f>
        <v>-0.022090897887900064</v>
      </c>
      <c r="AL35" s="169">
        <f>SQRT(W31^2+X38^2)</f>
        <v>0.026880710412379393</v>
      </c>
      <c r="AM35" s="169">
        <f>AM19</f>
        <v>-0.009543248461935439</v>
      </c>
      <c r="AN35" s="22" t="str">
        <f>IF(AM35&gt;AL35,"s+",IF(AM35&lt;AK35,"s-","ns"))</f>
        <v>ns</v>
      </c>
      <c r="AO35" s="15">
        <f>(AM35/(AK35/$B$17))^2</f>
        <v>0.7169033692585962</v>
      </c>
      <c r="AP35" s="15"/>
    </row>
    <row r="36" spans="2:42" ht="12.75">
      <c r="B36" t="s">
        <v>81</v>
      </c>
      <c r="P36" s="117"/>
      <c r="Q36" s="117" t="s">
        <v>53</v>
      </c>
      <c r="R36" s="116" t="s">
        <v>153</v>
      </c>
      <c r="S36" s="116" t="s">
        <v>154</v>
      </c>
      <c r="T36" s="116" t="s">
        <v>155</v>
      </c>
      <c r="U36" s="116" t="s">
        <v>156</v>
      </c>
      <c r="V36" s="116" t="s">
        <v>157</v>
      </c>
      <c r="W36" s="15" t="s">
        <v>159</v>
      </c>
      <c r="X36" s="15" t="s">
        <v>160</v>
      </c>
      <c r="Y36" s="12"/>
      <c r="AK36" s="15"/>
      <c r="AL36" s="15"/>
      <c r="AM36" s="15"/>
      <c r="AN36" s="15"/>
      <c r="AO36" s="15"/>
      <c r="AP36" s="15"/>
    </row>
    <row r="37" spans="2:42" ht="12.75">
      <c r="B37" t="s">
        <v>80</v>
      </c>
      <c r="P37" s="16" t="s">
        <v>56</v>
      </c>
      <c r="Q37" s="17">
        <f>Q12</f>
        <v>0.11259118300031716</v>
      </c>
      <c r="R37" s="17">
        <f>2*(B14+$B$17*$B$17)</f>
        <v>6313.682894888423</v>
      </c>
      <c r="S37" s="17">
        <f>$B$17*$B$17-1/B14+4*B14*M12*(1-M12)</f>
        <v>1263.9616504254993</v>
      </c>
      <c r="T37" s="17">
        <f>2-4*M12</f>
        <v>1.5496352679987313</v>
      </c>
      <c r="U37" s="169">
        <f>MAX(Q12,MIN(S12+($B$17*SQRT(S37+T37)+1)/R37,1))</f>
        <v>0.12426426317271663</v>
      </c>
      <c r="V37" s="169">
        <f>MIN(Q12,MAX(S12-($B$17*SQRT(S37-T37)+1)/R37,0))</f>
        <v>0.10187448161263321</v>
      </c>
      <c r="W37" s="17">
        <f>U37-Q37</f>
        <v>0.011673080172399472</v>
      </c>
      <c r="X37" s="17">
        <f>V37-Q37</f>
        <v>-0.01071670138768395</v>
      </c>
      <c r="Y37" s="12"/>
      <c r="AK37" s="15"/>
      <c r="AL37" s="15"/>
      <c r="AM37" s="15"/>
      <c r="AN37" s="15"/>
      <c r="AO37" s="17">
        <f>AO34+AO35</f>
        <v>27.808954087201034</v>
      </c>
      <c r="AP37" s="15"/>
    </row>
    <row r="38" spans="2:42" ht="12.75">
      <c r="B38" t="s">
        <v>82</v>
      </c>
      <c r="P38" s="16" t="s">
        <v>57</v>
      </c>
      <c r="Q38" s="17">
        <f>Q13</f>
        <v>0.06842285323297982</v>
      </c>
      <c r="R38" s="17">
        <f>2*(C14+$B$17*$B$17)</f>
        <v>5853.682894888423</v>
      </c>
      <c r="S38" s="17">
        <f>$B$17*$B$17-1/C14+4*C14*M13*(1-M13)</f>
        <v>749.1028227435617</v>
      </c>
      <c r="T38" s="17">
        <f>2-4*M13</f>
        <v>1.7263085870680808</v>
      </c>
      <c r="U38" s="169">
        <f>MAX(Q13,MIN(S13+($B$17*SQRT(S38+T38)+1)/R38,1))</f>
        <v>0.07833476151819546</v>
      </c>
      <c r="V38" s="169">
        <f>MIN(Q13,MAX(S13-($B$17*SQRT(S38-T38)+1)/R38,0))</f>
        <v>0.05966494418914608</v>
      </c>
      <c r="W38" s="17">
        <f>U38-Q38</f>
        <v>0.00991190828521564</v>
      </c>
      <c r="X38" s="17">
        <f>V38-Q38</f>
        <v>-0.008757909043833743</v>
      </c>
      <c r="Y38" s="12"/>
      <c r="AK38" s="15"/>
      <c r="AL38" s="15"/>
      <c r="AM38" s="15"/>
      <c r="AN38" s="15"/>
      <c r="AO38" s="17">
        <f>CHIDIST(AO37,2)</f>
        <v>9.148762345937398E-07</v>
      </c>
      <c r="AP38" s="15"/>
    </row>
    <row r="39" spans="16:42" ht="12.75">
      <c r="P39" s="15"/>
      <c r="Q39" s="22" t="s">
        <v>58</v>
      </c>
      <c r="R39" s="18">
        <f>-SQRT(X37^2+W38^2)</f>
        <v>-0.014597726346500455</v>
      </c>
      <c r="S39" s="15" t="s">
        <v>76</v>
      </c>
      <c r="T39" s="15"/>
      <c r="U39" s="15"/>
      <c r="V39" s="15"/>
      <c r="W39" s="15"/>
      <c r="X39" s="15"/>
      <c r="AK39" s="15"/>
      <c r="AL39" s="15"/>
      <c r="AM39" s="15"/>
      <c r="AN39" s="15"/>
      <c r="AO39" s="15" t="b">
        <f>(AO38&lt;0.05)</f>
        <v>1</v>
      </c>
      <c r="AP39" s="15"/>
    </row>
    <row r="40" spans="2:24" ht="12.75">
      <c r="B40" s="3" t="s">
        <v>18</v>
      </c>
      <c r="P40" s="15"/>
      <c r="Q40" s="17"/>
      <c r="R40" s="18">
        <f>SQRT(X38^2+W37^2)</f>
        <v>0.014593209774800421</v>
      </c>
      <c r="S40" s="17" t="s">
        <v>75</v>
      </c>
      <c r="T40" s="15"/>
      <c r="U40" s="15"/>
      <c r="V40" s="15"/>
      <c r="W40" s="15"/>
      <c r="X40" s="15"/>
    </row>
    <row r="41" spans="2:24" ht="12.75">
      <c r="B41" t="s">
        <v>9</v>
      </c>
      <c r="P41" s="15"/>
      <c r="Q41" s="15"/>
      <c r="R41" s="22" t="str">
        <f>IF(M15&lt;R40,"s (p1&gt;p2)",IF(M15&gt;R39,"s (p1&lt;p2)","ns"))</f>
        <v>s (p1&gt;p2)</v>
      </c>
      <c r="S41" s="15"/>
      <c r="T41" s="17"/>
      <c r="U41" s="15"/>
      <c r="V41" s="15"/>
      <c r="W41" s="15"/>
      <c r="X41" s="15"/>
    </row>
    <row r="43" spans="2:20" ht="12.75">
      <c r="B43" t="s">
        <v>34</v>
      </c>
      <c r="P43" s="227"/>
      <c r="Q43" s="19" t="s">
        <v>58</v>
      </c>
      <c r="R43" s="19">
        <f>SQRT(R40^2+R32^2)</f>
        <v>0.04203108240756683</v>
      </c>
      <c r="S43" s="23" t="str">
        <f>S19</f>
        <v>indep pop</v>
      </c>
      <c r="T43" s="228"/>
    </row>
    <row r="44" spans="2:20" ht="12.75">
      <c r="B44" t="s">
        <v>35</v>
      </c>
      <c r="P44" s="229"/>
      <c r="Q44" s="230"/>
      <c r="R44" s="20">
        <f>-SQRT(R39^2+R33^2)</f>
        <v>-0.041864165755341985</v>
      </c>
      <c r="S44" s="24" t="str">
        <f>IF($M$19&lt;R44,"s (diff 2 &lt; 1)",IF($M$19&gt;R43,"s (diff 2 &gt; 1)","ns"))</f>
        <v>s (diff 2 &gt; 1)</v>
      </c>
      <c r="T44" s="231"/>
    </row>
    <row r="45" ht="12.75">
      <c r="B45" t="s">
        <v>52</v>
      </c>
    </row>
    <row r="47" ht="12.75">
      <c r="B47" s="3" t="s">
        <v>68</v>
      </c>
    </row>
    <row r="48" ht="12.75">
      <c r="B48" t="s">
        <v>183</v>
      </c>
    </row>
    <row r="49" ht="12.75">
      <c r="B49" t="s">
        <v>182</v>
      </c>
    </row>
    <row r="50" ht="12.75">
      <c r="B50" t="s">
        <v>185</v>
      </c>
    </row>
    <row r="51" ht="12.75">
      <c r="B51" s="197" t="s">
        <v>184</v>
      </c>
    </row>
    <row r="53" ht="12.75">
      <c r="AH53" t="s">
        <v>118</v>
      </c>
    </row>
    <row r="55" spans="34:36" ht="12.75">
      <c r="AH55" t="s">
        <v>115</v>
      </c>
      <c r="AI55" t="s">
        <v>114</v>
      </c>
      <c r="AJ55" t="s">
        <v>123</v>
      </c>
    </row>
    <row r="56" spans="34:36" ht="12.75">
      <c r="AH56" s="2">
        <f>M7</f>
        <v>-0.12043389830508473</v>
      </c>
      <c r="AI56" s="2">
        <f>M15</f>
        <v>-0.04416832976733734</v>
      </c>
      <c r="AJ56" s="2">
        <f>M19</f>
        <v>0.0762655685377474</v>
      </c>
    </row>
    <row r="57" spans="34:36" ht="12.75">
      <c r="AH57" s="2">
        <f>M8</f>
        <v>0.039027964419830107</v>
      </c>
      <c r="AI57" s="2">
        <f>M16</f>
        <v>0.014498315204722096</v>
      </c>
      <c r="AJ57" s="2">
        <f>M20</f>
        <v>0.0416339182702157</v>
      </c>
    </row>
    <row r="59" spans="34:36" ht="12.75">
      <c r="AH59" s="2">
        <f>AH56</f>
        <v>-0.12043389830508473</v>
      </c>
      <c r="AI59" s="2">
        <f>AI56</f>
        <v>-0.04416832976733734</v>
      </c>
      <c r="AJ59" s="2">
        <f>AJ56</f>
        <v>0.0762655685377474</v>
      </c>
    </row>
    <row r="60" spans="34:36" ht="12.75">
      <c r="AH60" s="2">
        <f>R8</f>
        <v>0.03813939303728895</v>
      </c>
      <c r="AI60" s="2">
        <f>R16</f>
        <v>0.01436495667213286</v>
      </c>
      <c r="AJ60" s="2">
        <f>R19</f>
        <v>0.040843936811336086</v>
      </c>
    </row>
    <row r="61" spans="34:36" ht="12.75">
      <c r="AH61" s="2">
        <f>-R7</f>
        <v>0.03823447651081626</v>
      </c>
      <c r="AI61" s="2">
        <f>-R15</f>
        <v>0.014363290369350554</v>
      </c>
      <c r="AJ61" s="2">
        <f>-R20</f>
        <v>0.04075435450951325</v>
      </c>
    </row>
    <row r="62" spans="34:36" ht="12.75">
      <c r="AH62" s="196" t="s">
        <v>178</v>
      </c>
      <c r="AI62" s="196" t="s">
        <v>179</v>
      </c>
      <c r="AJ62" s="196" t="s">
        <v>180</v>
      </c>
    </row>
    <row r="63" spans="34:36" ht="12.75">
      <c r="AH63">
        <f>AA4</f>
        <v>0.1735130535620433</v>
      </c>
      <c r="AI63" s="2">
        <f>AA12</f>
        <v>0.07660057057446955</v>
      </c>
      <c r="AJ63">
        <f>AA19</f>
        <v>-0.09691248298757375</v>
      </c>
    </row>
    <row r="64" spans="34:36" ht="12.75">
      <c r="AH64" s="2">
        <f>AB7</f>
        <v>0.05110939404147399</v>
      </c>
      <c r="AI64" s="2">
        <f>AB15</f>
        <v>0.02428470148460457</v>
      </c>
      <c r="AJ64" s="2">
        <f>-AB19</f>
        <v>0.05960481624348239</v>
      </c>
    </row>
    <row r="65" spans="34:36" ht="12.75">
      <c r="AH65" s="2">
        <f>-AB8</f>
        <v>0.054433329800986335</v>
      </c>
      <c r="AI65" s="2">
        <f>-AB16</f>
        <v>0.02480984846698315</v>
      </c>
      <c r="AJ65" s="2">
        <f>AB20</f>
        <v>0.05681283957206613</v>
      </c>
    </row>
    <row r="66" spans="34:36" ht="12.75">
      <c r="AH66">
        <f>AH68-0.2</f>
        <v>0.9000000000000001</v>
      </c>
      <c r="AI66">
        <f>AI68-0.2</f>
        <v>1.9000000000000001</v>
      </c>
      <c r="AJ66">
        <f>AJ68-0.2</f>
        <v>2.9</v>
      </c>
    </row>
    <row r="67" spans="34:36" ht="12.75">
      <c r="AH67">
        <v>1</v>
      </c>
      <c r="AI67">
        <f>AH67+1</f>
        <v>2</v>
      </c>
      <c r="AJ67">
        <f>AI67+1</f>
        <v>3</v>
      </c>
    </row>
    <row r="68" spans="34:36" ht="12.75">
      <c r="AH68">
        <f>AH67+0.1</f>
        <v>1.1</v>
      </c>
      <c r="AI68">
        <f>AI67+0.1</f>
        <v>2.1</v>
      </c>
      <c r="AJ68">
        <f>AJ67+0.1</f>
        <v>3.1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N30" sqref="N30"/>
    </sheetView>
  </sheetViews>
  <sheetFormatPr defaultColWidth="8.8515625" defaultRowHeight="12.75"/>
  <cols>
    <col min="30" max="30" width="14.8515625" style="0" bestFit="1" customWidth="1"/>
    <col min="31" max="31" width="10.00390625" style="0" customWidth="1"/>
    <col min="32" max="32" width="10.7109375" style="0" customWidth="1"/>
  </cols>
  <sheetData>
    <row r="1" spans="1:31" ht="18">
      <c r="A1" s="4" t="s">
        <v>222</v>
      </c>
      <c r="L1" s="15"/>
      <c r="M1" s="22" t="s">
        <v>16</v>
      </c>
      <c r="N1" s="15"/>
      <c r="O1" s="15"/>
      <c r="P1" s="116"/>
      <c r="Q1" s="116"/>
      <c r="R1" s="55"/>
      <c r="S1" s="57" t="s">
        <v>131</v>
      </c>
      <c r="T1" s="55"/>
      <c r="U1" s="55"/>
      <c r="V1" s="55"/>
      <c r="W1" s="55"/>
      <c r="X1" s="55"/>
      <c r="Y1" s="55"/>
      <c r="Z1" s="55"/>
      <c r="AA1" s="55"/>
      <c r="AB1" s="22" t="s">
        <v>130</v>
      </c>
      <c r="AC1" s="15"/>
      <c r="AD1" s="15"/>
      <c r="AE1" s="15"/>
    </row>
    <row r="2" spans="8:31" ht="12.75">
      <c r="H2" s="3" t="s">
        <v>20</v>
      </c>
      <c r="L2" s="185" t="s">
        <v>189</v>
      </c>
      <c r="M2" s="15"/>
      <c r="N2" s="15"/>
      <c r="O2" s="15"/>
      <c r="P2" s="116"/>
      <c r="Q2" s="116" t="s">
        <v>190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185" t="s">
        <v>163</v>
      </c>
      <c r="AC2" s="15"/>
      <c r="AD2" s="15"/>
      <c r="AE2" s="15"/>
    </row>
    <row r="3" spans="1:31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18" t="s">
        <v>56</v>
      </c>
      <c r="M3" s="118" t="s">
        <v>57</v>
      </c>
      <c r="N3" s="118" t="s">
        <v>55</v>
      </c>
      <c r="O3" s="118" t="s">
        <v>40</v>
      </c>
      <c r="P3" s="118" t="s">
        <v>24</v>
      </c>
      <c r="Q3" s="118" t="s">
        <v>105</v>
      </c>
      <c r="R3" s="88"/>
      <c r="S3" s="55" t="s">
        <v>53</v>
      </c>
      <c r="T3" s="12" t="s">
        <v>72</v>
      </c>
      <c r="U3" s="55" t="s">
        <v>73</v>
      </c>
      <c r="V3" s="55" t="s">
        <v>129</v>
      </c>
      <c r="W3" s="55" t="s">
        <v>76</v>
      </c>
      <c r="X3" s="55" t="s">
        <v>75</v>
      </c>
      <c r="Y3" s="224" t="s">
        <v>195</v>
      </c>
      <c r="Z3" s="55" t="s">
        <v>159</v>
      </c>
      <c r="AA3" s="55"/>
      <c r="AB3" s="17" t="s">
        <v>53</v>
      </c>
      <c r="AC3" s="17"/>
      <c r="AD3" s="17"/>
      <c r="AE3" s="15"/>
    </row>
    <row r="4" spans="1:31" ht="12.75">
      <c r="A4" s="3" t="s">
        <v>63</v>
      </c>
      <c r="B4" s="106">
        <v>20</v>
      </c>
      <c r="C4" s="156">
        <v>35</v>
      </c>
      <c r="D4" s="157">
        <f>SUM(B4:C4)</f>
        <v>55</v>
      </c>
      <c r="E4" s="2"/>
      <c r="F4" s="1">
        <f aca="true" t="shared" si="0" ref="F4:G6">$D4*B$7/$D$7</f>
        <v>24.31159420289855</v>
      </c>
      <c r="G4" s="1">
        <f t="shared" si="0"/>
        <v>30.68840579710145</v>
      </c>
      <c r="H4" s="13"/>
      <c r="I4" s="13">
        <f aca="true" t="shared" si="1" ref="I4:J6">(B4-F4)^2/F4</f>
        <v>0.7646493444782825</v>
      </c>
      <c r="J4" s="13">
        <f t="shared" si="1"/>
        <v>0.6057611690022757</v>
      </c>
      <c r="L4" s="117">
        <f>B4/B7</f>
        <v>0.32786885245901637</v>
      </c>
      <c r="M4" s="117">
        <f>C4/C7</f>
        <v>0.45454545454545453</v>
      </c>
      <c r="N4" s="117">
        <f>D4/D7</f>
        <v>0.39855072463768115</v>
      </c>
      <c r="O4" s="117">
        <f>L4-M4</f>
        <v>-0.12667660208643816</v>
      </c>
      <c r="P4" s="117">
        <f>N4*(1-N4)*(1/B7+1/C7)</f>
        <v>0.007042731561619659</v>
      </c>
      <c r="Q4" s="169">
        <f>IF(O4&lt;-Q$7,O4+Q$7,IF(O4&gt;Q$7,O4-Q$7,0))</f>
        <v>-0.11198637428145626</v>
      </c>
      <c r="R4" s="166">
        <v>0.9</v>
      </c>
      <c r="S4" s="90">
        <f>B4/D4</f>
        <v>0.36363636363636365</v>
      </c>
      <c r="T4" s="90">
        <f>$B$19*$B$19/D4</f>
        <v>0.06984449898566499</v>
      </c>
      <c r="U4" s="55">
        <f>(S4+T4/2)/(1+T4)</f>
        <v>0.3725388255088242</v>
      </c>
      <c r="V4" s="55">
        <f>$B$19*SQRT((S4*(1-S4)+T4/4)/D4)/(1+T4)</f>
        <v>0.123233363393946</v>
      </c>
      <c r="W4" s="85">
        <f>U4-V4</f>
        <v>0.24930546211487822</v>
      </c>
      <c r="X4" s="85">
        <f>U4+V4</f>
        <v>0.4957721889027702</v>
      </c>
      <c r="Y4" s="90">
        <f>S4-W4</f>
        <v>0.11433090152148542</v>
      </c>
      <c r="Z4" s="85">
        <f>X4-S4</f>
        <v>0.13213582526640655</v>
      </c>
      <c r="AA4" s="55"/>
      <c r="AB4" s="117">
        <f>B4/D4</f>
        <v>0.36363636363636365</v>
      </c>
      <c r="AC4" s="17"/>
      <c r="AD4" s="17"/>
      <c r="AE4" s="15"/>
    </row>
    <row r="5" spans="1:31" ht="12.75">
      <c r="A5" s="3"/>
      <c r="B5" s="161">
        <v>40</v>
      </c>
      <c r="C5" s="162">
        <v>40</v>
      </c>
      <c r="D5" s="163">
        <f>SUM(B5:C5)</f>
        <v>80</v>
      </c>
      <c r="E5" s="2"/>
      <c r="F5" s="1">
        <f t="shared" si="0"/>
        <v>35.36231884057971</v>
      </c>
      <c r="G5" s="1">
        <f t="shared" si="0"/>
        <v>44.63768115942029</v>
      </c>
      <c r="H5" s="13"/>
      <c r="I5" s="13">
        <f t="shared" si="1"/>
        <v>0.6082204799239723</v>
      </c>
      <c r="J5" s="13">
        <f t="shared" si="1"/>
        <v>0.4818370035761339</v>
      </c>
      <c r="L5" s="117">
        <f>B5/B7</f>
        <v>0.6557377049180327</v>
      </c>
      <c r="M5" s="117">
        <f>C5/C7</f>
        <v>0.5194805194805194</v>
      </c>
      <c r="N5" s="117">
        <f>D5/D7</f>
        <v>0.5797101449275363</v>
      </c>
      <c r="O5" s="117">
        <f>L5-M5</f>
        <v>0.1362571854375133</v>
      </c>
      <c r="P5" s="117">
        <f>N5*(1-N5)*(1/B7+1/C7)</f>
        <v>0.007158439090014286</v>
      </c>
      <c r="Q5" s="169">
        <f>IF(O5&lt;-Q$7,O5+Q$7,IF(O5&gt;Q$7,O5-Q$7,0))</f>
        <v>0.1215669576325314</v>
      </c>
      <c r="R5" s="166">
        <f>R4+1</f>
        <v>1.9</v>
      </c>
      <c r="S5" s="90">
        <f>B5/D5</f>
        <v>0.5</v>
      </c>
      <c r="T5" s="90">
        <f>$B$19*$B$19/D5</f>
        <v>0.04801809305264468</v>
      </c>
      <c r="U5" s="55">
        <f>(S5+T5/2)/(1+T5)</f>
        <v>0.5</v>
      </c>
      <c r="V5" s="55">
        <f>$B$19*SQRT((S5*(1-S5)+T5/4)/D5)/(1+T5)</f>
        <v>0.10702569792130903</v>
      </c>
      <c r="W5" s="85">
        <f>U5-V5</f>
        <v>0.392974302078691</v>
      </c>
      <c r="X5" s="85">
        <f>U5+V5</f>
        <v>0.607025697921309</v>
      </c>
      <c r="Y5" s="90">
        <f>S5-W5</f>
        <v>0.107025697921309</v>
      </c>
      <c r="Z5" s="85">
        <f>X5-S5</f>
        <v>0.107025697921309</v>
      </c>
      <c r="AA5" s="55"/>
      <c r="AB5" s="117">
        <f>B5/D5</f>
        <v>0.5</v>
      </c>
      <c r="AC5" s="17"/>
      <c r="AD5" s="17"/>
      <c r="AE5" s="15"/>
    </row>
    <row r="6" spans="1:31" ht="12.75">
      <c r="A6" s="3" t="s">
        <v>64</v>
      </c>
      <c r="B6" s="109">
        <v>1</v>
      </c>
      <c r="C6" s="158">
        <v>2</v>
      </c>
      <c r="D6" s="159">
        <f>SUM(B6:C6)</f>
        <v>3</v>
      </c>
      <c r="E6" s="2"/>
      <c r="F6" s="1">
        <f t="shared" si="0"/>
        <v>1.326086956521739</v>
      </c>
      <c r="G6" s="1">
        <f t="shared" si="0"/>
        <v>1.673913043478261</v>
      </c>
      <c r="H6" s="13"/>
      <c r="I6" s="13">
        <f t="shared" si="1"/>
        <v>0.08018531717747679</v>
      </c>
      <c r="J6" s="13">
        <f t="shared" si="1"/>
        <v>0.06352343308865044</v>
      </c>
      <c r="L6" s="117">
        <f>B6/B7</f>
        <v>0.01639344262295082</v>
      </c>
      <c r="M6" s="117">
        <f>C6/C7</f>
        <v>0.025974025974025976</v>
      </c>
      <c r="N6" s="117">
        <f>D6/D7</f>
        <v>0.021739130434782608</v>
      </c>
      <c r="O6" s="117">
        <f>L6-M6</f>
        <v>-0.009580583351075155</v>
      </c>
      <c r="P6" s="117">
        <f>N6*(1-N6)*(1/B7+1/C7)</f>
        <v>0.0006248206533309883</v>
      </c>
      <c r="Q6" s="169">
        <f>IF(O6&lt;-Q$7,O6+Q$7,IF(O6&gt;Q$7,O6-Q$7,0))</f>
        <v>0</v>
      </c>
      <c r="R6" s="166">
        <f>R5+1</f>
        <v>2.9</v>
      </c>
      <c r="S6" s="90">
        <f>B6/D6</f>
        <v>0.3333333333333333</v>
      </c>
      <c r="T6" s="90">
        <f>$B$19*$B$19/D6</f>
        <v>1.280482481403858</v>
      </c>
      <c r="U6" s="55">
        <f>(S6+T6/2)/(1+T6)</f>
        <v>0.4269160504297901</v>
      </c>
      <c r="V6" s="55">
        <f>$B$19*SQRT((S6*(1-S6)+T6/4)/D6)/(1+T6)</f>
        <v>0.365423974402015</v>
      </c>
      <c r="W6" s="85">
        <f>U6-V6</f>
        <v>0.06149207602777507</v>
      </c>
      <c r="X6" s="85">
        <f>U6+V6</f>
        <v>0.7923400248318051</v>
      </c>
      <c r="Y6" s="90">
        <f>S6-W6</f>
        <v>0.27184125730555825</v>
      </c>
      <c r="Z6" s="85">
        <f>X6-S6</f>
        <v>0.4590066914984718</v>
      </c>
      <c r="AA6" s="55"/>
      <c r="AB6" s="117">
        <f>B6/D6</f>
        <v>0.3333333333333333</v>
      </c>
      <c r="AC6" s="17"/>
      <c r="AD6" s="17"/>
      <c r="AE6" s="15"/>
    </row>
    <row r="7" spans="2:31" ht="12.75">
      <c r="B7" s="112">
        <f>SUM(B4:B6)</f>
        <v>61</v>
      </c>
      <c r="C7" s="160">
        <f>SUM(C4:C6)</f>
        <v>77</v>
      </c>
      <c r="D7" s="113">
        <f>SUM(D4:D6)</f>
        <v>138</v>
      </c>
      <c r="E7" s="2"/>
      <c r="F7" s="1"/>
      <c r="G7" s="1"/>
      <c r="H7" s="63" t="s">
        <v>83</v>
      </c>
      <c r="I7" s="26">
        <f>SUM(I4:J6)</f>
        <v>2.604176747246792</v>
      </c>
      <c r="L7" s="15"/>
      <c r="M7" s="15"/>
      <c r="N7" s="15"/>
      <c r="O7" s="15"/>
      <c r="P7" s="15" t="s">
        <v>104</v>
      </c>
      <c r="Q7" s="117">
        <f>0.5*(1/B7+1/C7)</f>
        <v>0.014690227804981904</v>
      </c>
      <c r="R7" s="166"/>
      <c r="S7" s="55"/>
      <c r="T7" s="55"/>
      <c r="U7" s="55"/>
      <c r="V7" s="55"/>
      <c r="W7" s="55"/>
      <c r="X7" s="55"/>
      <c r="Y7" s="55"/>
      <c r="Z7" s="55"/>
      <c r="AA7" s="55"/>
      <c r="AB7" s="17"/>
      <c r="AC7" s="17"/>
      <c r="AD7" s="17"/>
      <c r="AE7" s="15"/>
    </row>
    <row r="8" spans="2:31" ht="12.75">
      <c r="B8" s="5"/>
      <c r="C8" s="5"/>
      <c r="D8" s="5"/>
      <c r="F8" s="1"/>
      <c r="G8" s="1"/>
      <c r="H8" s="64" t="s">
        <v>53</v>
      </c>
      <c r="I8" s="26">
        <f>CHIDIST(I7,2)</f>
        <v>0.2719632387208127</v>
      </c>
      <c r="J8" s="3" t="b">
        <f>I8&lt;$B$18</f>
        <v>0</v>
      </c>
      <c r="L8" s="90"/>
      <c r="M8" s="90"/>
      <c r="N8" s="90"/>
      <c r="O8" s="90"/>
      <c r="P8" s="90"/>
      <c r="Q8" s="90"/>
      <c r="R8" s="166"/>
      <c r="S8" s="55"/>
      <c r="T8" s="86"/>
      <c r="U8" s="55"/>
      <c r="V8" s="85"/>
      <c r="W8" s="55"/>
      <c r="X8" s="55"/>
      <c r="Y8" s="55"/>
      <c r="Z8" s="55"/>
      <c r="AA8" s="55"/>
      <c r="AB8" s="17"/>
      <c r="AC8" s="17"/>
      <c r="AD8" s="17"/>
      <c r="AE8" s="15"/>
    </row>
    <row r="9" spans="2:31" ht="12.75">
      <c r="B9" s="5"/>
      <c r="C9" s="10" t="s">
        <v>70</v>
      </c>
      <c r="D9" s="5"/>
      <c r="H9" s="59"/>
      <c r="I9" s="18"/>
      <c r="L9" s="90"/>
      <c r="M9" s="90"/>
      <c r="N9" s="90"/>
      <c r="O9" s="90"/>
      <c r="P9" s="90"/>
      <c r="Q9" s="90"/>
      <c r="R9" s="166"/>
      <c r="S9" s="55"/>
      <c r="T9" s="86"/>
      <c r="U9" s="55"/>
      <c r="V9" s="55"/>
      <c r="W9" s="55"/>
      <c r="X9" s="55"/>
      <c r="Y9" s="55"/>
      <c r="Z9" s="55"/>
      <c r="AA9" s="55"/>
      <c r="AB9" s="17"/>
      <c r="AC9" s="17"/>
      <c r="AD9" s="17"/>
      <c r="AE9" s="15"/>
    </row>
    <row r="10" spans="2:31" ht="12.75">
      <c r="B10" s="5"/>
      <c r="C10" s="5"/>
      <c r="D10" s="5"/>
      <c r="H10" s="3"/>
      <c r="L10" s="90"/>
      <c r="M10" s="88"/>
      <c r="N10" s="88"/>
      <c r="O10" s="88"/>
      <c r="P10" s="88"/>
      <c r="Q10" s="88"/>
      <c r="R10" s="166"/>
      <c r="S10" s="55"/>
      <c r="T10" s="55"/>
      <c r="U10" s="55"/>
      <c r="V10" s="55"/>
      <c r="W10" s="55"/>
      <c r="X10" s="55"/>
      <c r="Y10" s="55"/>
      <c r="Z10" s="55"/>
      <c r="AA10" s="55"/>
      <c r="AB10" s="17"/>
      <c r="AC10" s="17"/>
      <c r="AD10" s="17"/>
      <c r="AE10" s="15"/>
    </row>
    <row r="11" spans="2:31" ht="12.75">
      <c r="B11" s="5"/>
      <c r="C11" s="5"/>
      <c r="D11" s="5"/>
      <c r="H11" s="3"/>
      <c r="I11" s="3"/>
      <c r="L11" s="12"/>
      <c r="M11" s="14"/>
      <c r="N11" s="2"/>
      <c r="O11" s="90"/>
      <c r="P11" s="90"/>
      <c r="Q11" s="90"/>
      <c r="R11" s="166"/>
      <c r="S11" s="55"/>
      <c r="T11" s="55"/>
      <c r="U11" s="55"/>
      <c r="V11" s="55"/>
      <c r="W11" s="55"/>
      <c r="X11" s="55"/>
      <c r="Y11" s="55"/>
      <c r="Z11" s="55"/>
      <c r="AA11" s="55"/>
      <c r="AB11" s="17"/>
      <c r="AC11" s="17"/>
      <c r="AD11" s="17"/>
      <c r="AE11" s="15"/>
    </row>
    <row r="12" spans="1:31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L12" s="118" t="s">
        <v>56</v>
      </c>
      <c r="M12" s="118" t="s">
        <v>57</v>
      </c>
      <c r="N12" s="118" t="s">
        <v>55</v>
      </c>
      <c r="O12" s="118" t="s">
        <v>40</v>
      </c>
      <c r="P12" s="118" t="s">
        <v>24</v>
      </c>
      <c r="Q12" s="118" t="s">
        <v>105</v>
      </c>
      <c r="R12" s="167"/>
      <c r="S12" s="55" t="s">
        <v>53</v>
      </c>
      <c r="T12" s="12" t="s">
        <v>72</v>
      </c>
      <c r="U12" s="55" t="s">
        <v>73</v>
      </c>
      <c r="V12" s="55" t="s">
        <v>129</v>
      </c>
      <c r="W12" s="55" t="s">
        <v>76</v>
      </c>
      <c r="X12" s="55" t="s">
        <v>75</v>
      </c>
      <c r="Y12" s="224" t="s">
        <v>195</v>
      </c>
      <c r="Z12" s="55" t="s">
        <v>159</v>
      </c>
      <c r="AA12" s="55"/>
      <c r="AB12" s="17" t="s">
        <v>53</v>
      </c>
      <c r="AC12" s="17"/>
      <c r="AD12" s="17"/>
      <c r="AE12" s="15"/>
    </row>
    <row r="13" spans="1:31" ht="12.75">
      <c r="A13" s="3" t="s">
        <v>63</v>
      </c>
      <c r="B13" s="106">
        <v>20</v>
      </c>
      <c r="C13" s="156">
        <v>35</v>
      </c>
      <c r="D13" s="157">
        <f>SUM(B13:C13)</f>
        <v>55</v>
      </c>
      <c r="E13" s="2"/>
      <c r="F13" s="1">
        <f aca="true" t="shared" si="2" ref="F13:G15">$D13*B$16/$D$16</f>
        <v>14.78494623655914</v>
      </c>
      <c r="G13" s="1">
        <f t="shared" si="2"/>
        <v>40.215053763440864</v>
      </c>
      <c r="H13" s="13"/>
      <c r="I13" s="13">
        <f aca="true" t="shared" si="3" ref="I13:J15">(B13-F13)^2/F13</f>
        <v>1.8394916911045942</v>
      </c>
      <c r="J13" s="13">
        <f t="shared" si="3"/>
        <v>0.6762837099649253</v>
      </c>
      <c r="L13" s="117">
        <f>B13/B16</f>
        <v>0.8</v>
      </c>
      <c r="M13" s="117">
        <f>C13/C16</f>
        <v>0.5147058823529411</v>
      </c>
      <c r="N13" s="117">
        <f>D13/D16</f>
        <v>0.5913978494623656</v>
      </c>
      <c r="O13" s="117">
        <f>L13-M13</f>
        <v>0.2852941176470589</v>
      </c>
      <c r="P13" s="117">
        <f>N13*(1-N13)*(1/B16+1/C16)</f>
        <v>0.013219481340923465</v>
      </c>
      <c r="Q13" s="169">
        <f>IF(O13&lt;-Q$16,O13+Q$16,IF(O13&gt;Q$16,O13-Q$16,0))</f>
        <v>0.25794117647058834</v>
      </c>
      <c r="R13" s="166">
        <v>1.1</v>
      </c>
      <c r="S13" s="90">
        <f>B13/D13</f>
        <v>0.36363636363636365</v>
      </c>
      <c r="T13" s="90">
        <f>$B$19*$B$19/D13</f>
        <v>0.06984449898566499</v>
      </c>
      <c r="U13" s="55">
        <f>(S13+T13/2)/(1+T13)</f>
        <v>0.3725388255088242</v>
      </c>
      <c r="V13" s="55">
        <f>$B$19*SQRT((S13*(1-S13)+T13/4)/D13)/(1+T13)</f>
        <v>0.123233363393946</v>
      </c>
      <c r="W13" s="85">
        <f>U13-V13</f>
        <v>0.24930546211487822</v>
      </c>
      <c r="X13" s="85">
        <f>U13+V13</f>
        <v>0.4957721889027702</v>
      </c>
      <c r="Y13" s="90">
        <f>S13-W13</f>
        <v>0.11433090152148542</v>
      </c>
      <c r="Z13" s="85">
        <f>X13-S13</f>
        <v>0.13213582526640655</v>
      </c>
      <c r="AA13" s="55"/>
      <c r="AB13" s="117">
        <f>B13/D13</f>
        <v>0.36363636363636365</v>
      </c>
      <c r="AC13" s="17"/>
      <c r="AD13" s="17"/>
      <c r="AE13" s="15"/>
    </row>
    <row r="14" spans="1:31" ht="12.75">
      <c r="A14" s="3"/>
      <c r="B14" s="161">
        <v>2</v>
      </c>
      <c r="C14" s="162">
        <v>10</v>
      </c>
      <c r="D14" s="163">
        <f>SUM(B14:C14)</f>
        <v>12</v>
      </c>
      <c r="E14" s="2"/>
      <c r="F14" s="1">
        <f t="shared" si="2"/>
        <v>3.225806451612903</v>
      </c>
      <c r="G14" s="1">
        <f t="shared" si="2"/>
        <v>8.774193548387096</v>
      </c>
      <c r="H14" s="13"/>
      <c r="I14" s="13">
        <f t="shared" si="3"/>
        <v>0.4658064516129031</v>
      </c>
      <c r="J14" s="13">
        <f t="shared" si="3"/>
        <v>0.17125237191650874</v>
      </c>
      <c r="L14" s="117">
        <f>B14/B16</f>
        <v>0.08</v>
      </c>
      <c r="M14" s="117">
        <f>C14/C16</f>
        <v>0.14705882352941177</v>
      </c>
      <c r="N14" s="117">
        <f>D14/D16</f>
        <v>0.12903225806451613</v>
      </c>
      <c r="O14" s="117">
        <f>L14-M14</f>
        <v>-0.06705882352941177</v>
      </c>
      <c r="P14" s="117">
        <f>N14*(1-N14)*(1/B16+1/C16)</f>
        <v>0.006148007590132827</v>
      </c>
      <c r="Q14" s="169">
        <f>IF(O14&lt;-Q$16,O14+Q$16,IF(O14&gt;Q$16,O14-Q$16,0))</f>
        <v>-0.03970588235294118</v>
      </c>
      <c r="R14" s="166">
        <f>R13+1</f>
        <v>2.1</v>
      </c>
      <c r="S14" s="90">
        <f>B14/D14</f>
        <v>0.16666666666666666</v>
      </c>
      <c r="T14" s="90">
        <f>$B$19*$B$19/D14</f>
        <v>0.3201206203509645</v>
      </c>
      <c r="U14" s="55">
        <f>(S14+T14/2)/(1+T14)</f>
        <v>0.24749782088494757</v>
      </c>
      <c r="V14" s="55">
        <f>$B$19*SQRT((S14*(1-S14)+T14/4)/D14)/(1+T14)</f>
        <v>0.20053259855497285</v>
      </c>
      <c r="W14" s="85">
        <f>U14-V14</f>
        <v>0.046965222329974715</v>
      </c>
      <c r="X14" s="85">
        <f>U14+V14</f>
        <v>0.4480304194399204</v>
      </c>
      <c r="Y14" s="90">
        <f>S14-W14</f>
        <v>0.11970144433669194</v>
      </c>
      <c r="Z14" s="85">
        <f>X14-S14</f>
        <v>0.28136375277325376</v>
      </c>
      <c r="AA14" s="55"/>
      <c r="AB14" s="117">
        <f>B14/D14</f>
        <v>0.16666666666666666</v>
      </c>
      <c r="AC14" s="17"/>
      <c r="AD14" s="17"/>
      <c r="AE14" s="15"/>
    </row>
    <row r="15" spans="1:31" ht="12.75">
      <c r="A15" s="3" t="s">
        <v>64</v>
      </c>
      <c r="B15" s="109">
        <v>3</v>
      </c>
      <c r="C15" s="158">
        <v>23</v>
      </c>
      <c r="D15" s="159">
        <f>SUM(B15:C15)</f>
        <v>26</v>
      </c>
      <c r="E15" s="2"/>
      <c r="F15" s="1">
        <f t="shared" si="2"/>
        <v>6.989247311827957</v>
      </c>
      <c r="G15" s="1">
        <f t="shared" si="2"/>
        <v>19.010752688172044</v>
      </c>
      <c r="H15" s="13"/>
      <c r="I15" s="13">
        <f t="shared" si="3"/>
        <v>2.2769396195202645</v>
      </c>
      <c r="J15" s="13">
        <f t="shared" si="3"/>
        <v>0.837110154235391</v>
      </c>
      <c r="L15" s="117">
        <f>B15/B16</f>
        <v>0.12</v>
      </c>
      <c r="M15" s="117">
        <f>C15/C16</f>
        <v>0.3382352941176471</v>
      </c>
      <c r="N15" s="117">
        <f>D15/D16</f>
        <v>0.27956989247311825</v>
      </c>
      <c r="O15" s="117">
        <f>L15-M15</f>
        <v>-0.21823529411764708</v>
      </c>
      <c r="P15" s="117">
        <f>N15*(1-N15)*(1/B16+1/C16)</f>
        <v>0.011018342820999366</v>
      </c>
      <c r="Q15" s="169">
        <f>IF(O15&lt;-Q$16,O15+Q$16,IF(O15&gt;Q$16,O15-Q$16,0))</f>
        <v>-0.1908823529411765</v>
      </c>
      <c r="R15" s="166">
        <f>R14+1</f>
        <v>3.1</v>
      </c>
      <c r="S15" s="90">
        <f>B15/D15</f>
        <v>0.11538461538461539</v>
      </c>
      <c r="T15" s="90">
        <f>$B$19*$B$19/D15</f>
        <v>0.1477479786235221</v>
      </c>
      <c r="U15" s="55">
        <f>(S15+T15/2)/(1+T15)</f>
        <v>0.16489561142451467</v>
      </c>
      <c r="V15" s="55">
        <f>$B$19*SQRT((S15*(1-S15)+T15/4)/D15)/(1+T15)</f>
        <v>0.12486310652158547</v>
      </c>
      <c r="W15" s="85">
        <f>U15-V15</f>
        <v>0.0400325049029292</v>
      </c>
      <c r="X15" s="85">
        <f>U15+V15</f>
        <v>0.28975871794610014</v>
      </c>
      <c r="Y15" s="90">
        <f>S15-W15</f>
        <v>0.07535211048168619</v>
      </c>
      <c r="Z15" s="85">
        <f>X15-S15</f>
        <v>0.17437410256148475</v>
      </c>
      <c r="AA15" s="55"/>
      <c r="AB15" s="117">
        <f>B15/D15</f>
        <v>0.11538461538461539</v>
      </c>
      <c r="AC15" s="17"/>
      <c r="AD15" s="17"/>
      <c r="AE15" s="15"/>
    </row>
    <row r="16" spans="2:31" ht="12.75">
      <c r="B16" s="91">
        <f>SUM(B13:B15)</f>
        <v>25</v>
      </c>
      <c r="C16" s="115">
        <f>SUM(C13:C15)</f>
        <v>68</v>
      </c>
      <c r="D16" s="92">
        <f>SUM(D13:D15)</f>
        <v>93</v>
      </c>
      <c r="E16" s="2"/>
      <c r="F16" s="1"/>
      <c r="G16" s="1"/>
      <c r="H16" s="63" t="s">
        <v>83</v>
      </c>
      <c r="I16" s="26">
        <f>SUM(I13:J15)</f>
        <v>6.2668839983545865</v>
      </c>
      <c r="L16" s="116"/>
      <c r="M16" s="116"/>
      <c r="N16" s="116"/>
      <c r="O16" s="116"/>
      <c r="P16" s="116" t="s">
        <v>104</v>
      </c>
      <c r="Q16" s="117">
        <f>0.5*(1/B16+1/C16)</f>
        <v>0.027352941176470587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7"/>
      <c r="AC16" s="17"/>
      <c r="AD16" s="17"/>
      <c r="AE16" s="15"/>
    </row>
    <row r="17" spans="6:31" ht="12.75">
      <c r="F17" s="1"/>
      <c r="G17" s="1"/>
      <c r="H17" s="64" t="s">
        <v>53</v>
      </c>
      <c r="I17" s="26">
        <f>CHIDIST(I16,2)</f>
        <v>0.04356757930572664</v>
      </c>
      <c r="J17" s="3" t="b">
        <f>I17&lt;$B$18</f>
        <v>1</v>
      </c>
      <c r="L17" s="12"/>
      <c r="M17" s="12"/>
      <c r="N17" s="12"/>
      <c r="O17" s="12"/>
      <c r="P17" s="12"/>
      <c r="Q17" s="12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7" t="s">
        <v>55</v>
      </c>
      <c r="AC17" s="169" t="s">
        <v>24</v>
      </c>
      <c r="AD17" s="170" t="s">
        <v>83</v>
      </c>
      <c r="AE17" s="15"/>
    </row>
    <row r="18" spans="1:31" ht="12.75">
      <c r="A18" s="3" t="s">
        <v>53</v>
      </c>
      <c r="B18" s="25">
        <v>0.05</v>
      </c>
      <c r="C18" s="10" t="s">
        <v>79</v>
      </c>
      <c r="D18" s="3"/>
      <c r="H18" s="59"/>
      <c r="I18" s="18"/>
      <c r="L18" s="12"/>
      <c r="M18" s="12"/>
      <c r="N18" s="12"/>
      <c r="O18" s="63" t="s">
        <v>196</v>
      </c>
      <c r="P18" s="117">
        <f>(O4-O13)^2/(P4+P13)</f>
        <v>8.376176616742288</v>
      </c>
      <c r="Q18" s="117">
        <f>(Q4-Q13)^2/(P4+P13)</f>
        <v>6.753773315067223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17">
        <f>(B4+B13)/(D4+D13)</f>
        <v>0.36363636363636365</v>
      </c>
      <c r="AC18" s="17">
        <f>(AB18*(1-AB18))*(1/D4+1/D13)</f>
        <v>0.008414725770097671</v>
      </c>
      <c r="AD18" s="17">
        <f>(AB4-AB13)^2/AC18</f>
        <v>0</v>
      </c>
      <c r="AE18" s="15"/>
    </row>
    <row r="19" spans="1:31" ht="12.75">
      <c r="A19" s="3" t="s">
        <v>78</v>
      </c>
      <c r="B19" s="13">
        <f>NORMSINV(1-(B18/2))</f>
        <v>1.9599610823206604</v>
      </c>
      <c r="O19" s="15"/>
      <c r="P19" s="117">
        <f>(O5-O14)^2/(P5+P14)</f>
        <v>3.106569356634716</v>
      </c>
      <c r="Q19" s="117">
        <f>(Q5-Q14)^2/(P5+P14)</f>
        <v>1.954611140161447</v>
      </c>
      <c r="R19" s="55"/>
      <c r="S19" s="55"/>
      <c r="T19" s="55"/>
      <c r="U19" s="55"/>
      <c r="W19" s="55"/>
      <c r="X19" s="55"/>
      <c r="Y19" s="55"/>
      <c r="Z19" s="55"/>
      <c r="AA19" s="55"/>
      <c r="AB19" s="17">
        <f>(B5+B14)/(D5+D14)</f>
        <v>0.45652173913043476</v>
      </c>
      <c r="AC19" s="17">
        <f>(AB19*(1-AB19))*(1/D5+1/D14)</f>
        <v>0.023777173913043476</v>
      </c>
      <c r="AD19" s="17">
        <f>(AB5-AB14)^2/AC19</f>
        <v>4.673015873015874</v>
      </c>
      <c r="AE19" s="15"/>
    </row>
    <row r="20" spans="15:31" ht="12.75">
      <c r="O20" s="15"/>
      <c r="P20" s="117">
        <f>(O6-O15)^2/(P6+P15)</f>
        <v>3.7392576700539517</v>
      </c>
      <c r="Q20" s="117">
        <f>(Q6-Q15)^2/(P6+P15)</f>
        <v>3.12939629720826</v>
      </c>
      <c r="R20" s="55"/>
      <c r="S20" s="55"/>
      <c r="T20" s="55"/>
      <c r="U20" s="55"/>
      <c r="W20" s="55"/>
      <c r="X20" s="55"/>
      <c r="Y20" s="55"/>
      <c r="Z20" s="55"/>
      <c r="AA20" s="55"/>
      <c r="AB20" s="17">
        <f>(B6+B15)/(D6+D15)</f>
        <v>0.13793103448275862</v>
      </c>
      <c r="AC20" s="17">
        <f>(AB20*(1-AB20))*(1/D6+1/D15)</f>
        <v>0.044208664898320066</v>
      </c>
      <c r="AD20" s="17">
        <f>(AB6-AB15)^2/AC20</f>
        <v>1.0744871794871793</v>
      </c>
      <c r="AE20" s="15"/>
    </row>
    <row r="21" spans="1:31" ht="12.75">
      <c r="A21" s="121"/>
      <c r="B21" s="121"/>
      <c r="C21" s="121"/>
      <c r="D21" s="121"/>
      <c r="E21" s="121"/>
      <c r="F21" s="121"/>
      <c r="G21" s="121"/>
      <c r="O21" s="80" t="s">
        <v>83</v>
      </c>
      <c r="P21" s="19">
        <f>SUM(P18:P20)/2</f>
        <v>7.611001821715478</v>
      </c>
      <c r="Q21" s="83">
        <f>SUM(Q18:Q20)/2</f>
        <v>5.918890376218465</v>
      </c>
      <c r="S21" s="76"/>
      <c r="T21" s="76"/>
      <c r="U21" s="55"/>
      <c r="W21" s="55"/>
      <c r="X21" s="55"/>
      <c r="Y21" s="55"/>
      <c r="Z21" s="55"/>
      <c r="AA21" s="55"/>
      <c r="AB21" s="17"/>
      <c r="AC21" s="17"/>
      <c r="AD21" s="18">
        <f>SUM(AD18:AD20)</f>
        <v>5.7475030525030535</v>
      </c>
      <c r="AE21" s="15"/>
    </row>
    <row r="22" spans="1:31" ht="12.75">
      <c r="A22" s="94" t="s">
        <v>49</v>
      </c>
      <c r="B22" s="121"/>
      <c r="C22" s="121"/>
      <c r="D22" s="121"/>
      <c r="E22" s="121"/>
      <c r="F22" s="121"/>
      <c r="G22" s="121"/>
      <c r="H22" s="123" t="s">
        <v>31</v>
      </c>
      <c r="I22" s="135"/>
      <c r="J22" s="135"/>
      <c r="K22" s="135"/>
      <c r="L22" s="136"/>
      <c r="M22" s="137"/>
      <c r="N22" s="137"/>
      <c r="O22" s="232" t="s">
        <v>53</v>
      </c>
      <c r="P22" s="69">
        <f>CHIDIST(P21,2)</f>
        <v>0.022248050085520426</v>
      </c>
      <c r="Q22" s="233">
        <f>CHIDIST(Q21,2)</f>
        <v>0.05184767490312996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7" t="s">
        <v>53</v>
      </c>
      <c r="AC22" s="17"/>
      <c r="AD22" s="18">
        <f>CHIDIST(AD21,3)</f>
        <v>0.12456222074598082</v>
      </c>
      <c r="AE22" s="15" t="b">
        <f>(AD22&lt;0.05)</f>
        <v>0</v>
      </c>
    </row>
    <row r="23" spans="1:27" ht="12.75">
      <c r="A23" s="123" t="s">
        <v>32</v>
      </c>
      <c r="B23" s="121"/>
      <c r="C23" s="121"/>
      <c r="D23" s="121"/>
      <c r="E23" s="121"/>
      <c r="F23" s="121" t="s">
        <v>54</v>
      </c>
      <c r="G23" s="121"/>
      <c r="H23" s="171" t="s">
        <v>44</v>
      </c>
      <c r="I23" s="135"/>
      <c r="J23" s="135"/>
      <c r="K23" s="135"/>
      <c r="L23" s="136" t="s">
        <v>45</v>
      </c>
      <c r="M23" s="137"/>
      <c r="N23" s="137"/>
      <c r="O23" s="72"/>
      <c r="P23" s="20" t="b">
        <f>P22&lt;0.05</f>
        <v>1</v>
      </c>
      <c r="Q23" s="234" t="b">
        <f>Q22&lt;0.05</f>
        <v>0</v>
      </c>
      <c r="R23" s="55"/>
      <c r="S23" s="55"/>
      <c r="T23" s="55"/>
      <c r="V23" s="55"/>
      <c r="W23" s="55"/>
      <c r="X23" s="55"/>
      <c r="Y23" s="55"/>
      <c r="Z23" s="55"/>
      <c r="AA23" s="55"/>
    </row>
    <row r="24" spans="1:28" ht="12.75">
      <c r="A24" s="121"/>
      <c r="B24" s="124">
        <f aca="true" t="shared" si="4" ref="B24:D27">B4+B13</f>
        <v>40</v>
      </c>
      <c r="C24" s="126">
        <f t="shared" si="4"/>
        <v>70</v>
      </c>
      <c r="D24" s="127">
        <f t="shared" si="4"/>
        <v>110</v>
      </c>
      <c r="E24" s="121"/>
      <c r="F24" s="128">
        <f aca="true" t="shared" si="5" ref="F24:G26">$D24*B$27/$D$27</f>
        <v>40.95238095238095</v>
      </c>
      <c r="G24" s="128">
        <f t="shared" si="5"/>
        <v>69.04761904761905</v>
      </c>
      <c r="H24" s="138"/>
      <c r="I24" s="138">
        <f aca="true" t="shared" si="6" ref="I24:J26">(B24-F24)^2/F24</f>
        <v>0.022148394241417343</v>
      </c>
      <c r="J24" s="138">
        <f t="shared" si="6"/>
        <v>0.01313628899835787</v>
      </c>
      <c r="K24" s="135"/>
      <c r="L24" s="139">
        <f aca="true" t="shared" si="7" ref="L24:M26">I4+I13-I24</f>
        <v>2.581992641341459</v>
      </c>
      <c r="M24" s="139">
        <f t="shared" si="7"/>
        <v>1.268908589968843</v>
      </c>
      <c r="N24" s="137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t="s">
        <v>11</v>
      </c>
    </row>
    <row r="25" spans="1:32" ht="12.75">
      <c r="A25" s="121"/>
      <c r="B25" s="129">
        <f t="shared" si="4"/>
        <v>42</v>
      </c>
      <c r="C25" s="131">
        <f t="shared" si="4"/>
        <v>50</v>
      </c>
      <c r="D25" s="127">
        <f t="shared" si="4"/>
        <v>92</v>
      </c>
      <c r="E25" s="121"/>
      <c r="F25" s="128">
        <f t="shared" si="5"/>
        <v>34.25108225108225</v>
      </c>
      <c r="G25" s="128">
        <f t="shared" si="5"/>
        <v>57.74891774891775</v>
      </c>
      <c r="H25" s="138"/>
      <c r="I25" s="138">
        <f t="shared" si="6"/>
        <v>1.7531044957738582</v>
      </c>
      <c r="J25" s="138">
        <f t="shared" si="6"/>
        <v>1.0397723216313919</v>
      </c>
      <c r="K25" s="135"/>
      <c r="L25" s="139">
        <f t="shared" si="7"/>
        <v>-0.6790775642369826</v>
      </c>
      <c r="M25" s="139">
        <f t="shared" si="7"/>
        <v>-0.3866829461387492</v>
      </c>
      <c r="N25" s="137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7" t="s">
        <v>10</v>
      </c>
      <c r="AD25" s="55"/>
      <c r="AE25" t="s">
        <v>132</v>
      </c>
      <c r="AF25" t="s">
        <v>133</v>
      </c>
    </row>
    <row r="26" spans="1:32" ht="12.75">
      <c r="A26" s="121"/>
      <c r="B26" s="132">
        <f t="shared" si="4"/>
        <v>4</v>
      </c>
      <c r="C26" s="134">
        <f t="shared" si="4"/>
        <v>25</v>
      </c>
      <c r="D26" s="127">
        <f t="shared" si="4"/>
        <v>29</v>
      </c>
      <c r="E26" s="121"/>
      <c r="F26" s="128">
        <f t="shared" si="5"/>
        <v>10.796536796536797</v>
      </c>
      <c r="G26" s="128">
        <f t="shared" si="5"/>
        <v>18.203463203463205</v>
      </c>
      <c r="H26" s="135"/>
      <c r="I26" s="138">
        <f t="shared" si="6"/>
        <v>4.2784934926073666</v>
      </c>
      <c r="J26" s="138">
        <f t="shared" si="6"/>
        <v>2.537589243891264</v>
      </c>
      <c r="K26" s="135"/>
      <c r="L26" s="139">
        <f t="shared" si="7"/>
        <v>-1.9213685559096252</v>
      </c>
      <c r="M26" s="139">
        <f t="shared" si="7"/>
        <v>-1.6369556565672227</v>
      </c>
      <c r="N26" s="14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90"/>
      <c r="AD26" s="56">
        <f>-$B$19*SQRT(X4*(1-X4)/D4+W13*(1-W13)/D13)</f>
        <v>-0.1747324565201037</v>
      </c>
      <c r="AE26" s="56">
        <f>-$B$19*SQRT(X5*(1-X5)/D5+W14*(1-W14)/D14)</f>
        <v>-0.1605706566961518</v>
      </c>
      <c r="AF26" s="56">
        <f>-$B$19*SQRT(X6*(1-X6)/D6+W15*(1-W15)/D15)</f>
        <v>-0.4651506029173965</v>
      </c>
    </row>
    <row r="27" spans="1:32" ht="12.75">
      <c r="A27" s="121"/>
      <c r="B27" s="127">
        <f t="shared" si="4"/>
        <v>86</v>
      </c>
      <c r="C27" s="127">
        <f t="shared" si="4"/>
        <v>145</v>
      </c>
      <c r="D27" s="127">
        <f t="shared" si="4"/>
        <v>231</v>
      </c>
      <c r="E27" s="121"/>
      <c r="F27" s="121"/>
      <c r="G27" s="121"/>
      <c r="H27" s="215" t="s">
        <v>46</v>
      </c>
      <c r="I27" s="216">
        <f>SUM(I24:J26)</f>
        <v>9.644244237143656</v>
      </c>
      <c r="J27" s="135"/>
      <c r="K27" s="135"/>
      <c r="L27" s="139"/>
      <c r="M27" s="143"/>
      <c r="N27" s="143"/>
      <c r="O27" s="55"/>
      <c r="P27" s="55"/>
      <c r="Q27" s="55"/>
      <c r="R27" s="55"/>
      <c r="S27" s="55"/>
      <c r="T27" s="55"/>
      <c r="U27" s="55"/>
      <c r="AB27" s="90"/>
      <c r="AC27" s="79" t="s">
        <v>58</v>
      </c>
      <c r="AD27" s="56">
        <f>$B$19*SQRT(W4*(1-W4)/D4+X13*(1-X13)/D13)</f>
        <v>0.1747324565201037</v>
      </c>
      <c r="AE27" s="56">
        <f>$B$19*SQRT(W5*(1-W5)/D5+X14*(1-X14)/D14)</f>
        <v>0.301031661773628</v>
      </c>
      <c r="AF27" s="56">
        <f>$B$19*SQRT(Y5*(1-Y5)/F5+Z14*(1-Z14)/F14)</f>
        <v>0.5011680944342789</v>
      </c>
    </row>
    <row r="28" spans="8:32" ht="12.75">
      <c r="H28" s="215" t="s">
        <v>47</v>
      </c>
      <c r="I28" s="216">
        <f>I7+I16</f>
        <v>8.871060745601378</v>
      </c>
      <c r="J28" s="135"/>
      <c r="K28" s="135"/>
      <c r="L28" s="143"/>
      <c r="M28" s="143"/>
      <c r="N28" s="143"/>
      <c r="AB28" s="88" t="s">
        <v>12</v>
      </c>
      <c r="AD28" s="56">
        <f>AB4-AB13</f>
        <v>0</v>
      </c>
      <c r="AE28" s="56">
        <f>AB5-AB14</f>
        <v>0.33333333333333337</v>
      </c>
      <c r="AF28" s="56">
        <f>AB6-AB15</f>
        <v>0.21794871794871792</v>
      </c>
    </row>
    <row r="29" spans="8:32" ht="12.75">
      <c r="H29" s="215" t="s">
        <v>48</v>
      </c>
      <c r="I29" s="217">
        <f>I28-I27</f>
        <v>-0.7731834915422784</v>
      </c>
      <c r="J29" s="135"/>
      <c r="K29" s="135"/>
      <c r="L29" s="135"/>
      <c r="M29" s="135"/>
      <c r="N29" s="135"/>
      <c r="AD29" s="25" t="str">
        <f>IF($AD$27&gt;AD27,"s (p1(2) &lt; p1(1))",IF($AD$28&lt;AD26,"s (p1(2) &gt; p1(1))","ns"))</f>
        <v>ns</v>
      </c>
      <c r="AE29" s="25" t="str">
        <f>IF($AE$28&gt;AE27,"s (p1(2) &lt; p1(1))",IF($AE$28&lt;AE26,"s (p1(2) &gt; p1(1))","ns"))</f>
        <v>s (p1(2) &lt; p1(1))</v>
      </c>
      <c r="AF29" s="25" t="str">
        <f>IF($AF$28&gt;AF27,"s (p1(2) &lt; p1(1))",IF($AF$28&lt;AF26,"s (p1(2) &gt; p1(1))","ns"))</f>
        <v>ns</v>
      </c>
    </row>
    <row r="30" spans="8:14" ht="12.75">
      <c r="H30" s="218" t="s">
        <v>53</v>
      </c>
      <c r="I30" s="216">
        <f>IF(I29&lt;0,1,CHIDIST(I29,2))</f>
        <v>1</v>
      </c>
      <c r="J30" s="146" t="b">
        <f>I30&lt;0.05</f>
        <v>0</v>
      </c>
      <c r="K30" s="135"/>
      <c r="L30" s="135"/>
      <c r="M30" s="135"/>
      <c r="N30" s="135"/>
    </row>
    <row r="31" spans="8:32" ht="12.75">
      <c r="H31" s="135"/>
      <c r="I31" s="135"/>
      <c r="J31" s="135"/>
      <c r="K31" s="135"/>
      <c r="L31" s="135"/>
      <c r="M31" s="135"/>
      <c r="N31" s="135"/>
      <c r="AB31" t="s">
        <v>134</v>
      </c>
      <c r="AC31" t="s">
        <v>135</v>
      </c>
      <c r="AD31" s="2">
        <f>IF(AD28&lt;0,-AD26,AD27)</f>
        <v>0.1747324565201037</v>
      </c>
      <c r="AE31" s="2">
        <f>IF(AE28&lt;0,-AE26,AE27)</f>
        <v>0.301031661773628</v>
      </c>
      <c r="AF31" s="2">
        <f>IF(AF28&lt;0,-AF26,AF27)</f>
        <v>0.5011680944342789</v>
      </c>
    </row>
    <row r="32" spans="2:34" ht="15.75">
      <c r="B32" s="11" t="s">
        <v>67</v>
      </c>
      <c r="H32" s="135"/>
      <c r="I32" s="135"/>
      <c r="J32" s="135"/>
      <c r="K32" s="135"/>
      <c r="L32" s="135"/>
      <c r="M32" s="135"/>
      <c r="N32" s="135"/>
      <c r="AC32" s="28" t="s">
        <v>83</v>
      </c>
      <c r="AD32" s="2">
        <f>(AD28/(AD31/$B$19))^2</f>
        <v>0</v>
      </c>
      <c r="AE32" s="2">
        <f>(AE28/(AE31/$B$19))^2</f>
        <v>4.710077296940373</v>
      </c>
      <c r="AF32" s="2">
        <f>(AF28/(AF31/$B$19))^2</f>
        <v>0.7265018144750615</v>
      </c>
      <c r="AG32" s="2">
        <f>AD32+AE32+AF32</f>
        <v>5.436579111415434</v>
      </c>
      <c r="AH32" s="2"/>
    </row>
    <row r="33" spans="2:34" ht="12.75">
      <c r="B33" s="3" t="s">
        <v>252</v>
      </c>
      <c r="AE33" s="2"/>
      <c r="AF33" s="2"/>
      <c r="AG33">
        <f>CHIDIST(AG32,3)</f>
        <v>0.14248147284514587</v>
      </c>
      <c r="AH33" t="b">
        <f>(AG33&lt;0.05)</f>
        <v>0</v>
      </c>
    </row>
    <row r="35" ht="12.75">
      <c r="B35" t="s">
        <v>21</v>
      </c>
    </row>
    <row r="37" ht="12.75">
      <c r="B37" t="s">
        <v>0</v>
      </c>
    </row>
    <row r="38" ht="12.75">
      <c r="B38" t="s">
        <v>25</v>
      </c>
    </row>
    <row r="39" spans="2:34" ht="12.75">
      <c r="B39" t="s">
        <v>29</v>
      </c>
      <c r="AH39" s="25"/>
    </row>
    <row r="41" ht="12.75">
      <c r="B41" s="3" t="s">
        <v>19</v>
      </c>
    </row>
    <row r="43" ht="12.75">
      <c r="B43" t="s">
        <v>1</v>
      </c>
    </row>
    <row r="45" ht="12.75">
      <c r="B45" s="3" t="s">
        <v>68</v>
      </c>
    </row>
    <row r="46" ht="12.75">
      <c r="B46" t="s">
        <v>183</v>
      </c>
    </row>
    <row r="47" ht="12.75">
      <c r="B47" t="s">
        <v>182</v>
      </c>
    </row>
    <row r="48" ht="12.75">
      <c r="B48" t="s">
        <v>185</v>
      </c>
    </row>
    <row r="49" ht="12.75">
      <c r="B49" s="197" t="s">
        <v>184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E1" sqref="E1"/>
    </sheetView>
  </sheetViews>
  <sheetFormatPr defaultColWidth="8.8515625" defaultRowHeight="12.75"/>
  <sheetData>
    <row r="1" spans="1:33" ht="18">
      <c r="A1" s="4" t="s">
        <v>223</v>
      </c>
      <c r="O1" s="12"/>
      <c r="P1" s="12"/>
      <c r="Q1" s="12"/>
      <c r="S1" s="2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1:33" ht="12.75">
      <c r="K2" s="3" t="s">
        <v>20</v>
      </c>
      <c r="O2" s="12"/>
      <c r="P2" s="15"/>
      <c r="Q2" s="22" t="s">
        <v>16</v>
      </c>
      <c r="R2" s="15"/>
      <c r="S2" s="15"/>
      <c r="T2" s="15"/>
      <c r="U2" s="15"/>
      <c r="V2" s="15"/>
      <c r="W2" s="116"/>
      <c r="X2" s="116"/>
      <c r="Y2" s="116"/>
      <c r="Z2" s="55"/>
      <c r="AA2" s="55" t="s">
        <v>138</v>
      </c>
      <c r="AB2" s="55"/>
      <c r="AC2" s="55"/>
      <c r="AD2" s="55"/>
      <c r="AE2" s="55"/>
      <c r="AF2" s="55"/>
      <c r="AG2" s="12"/>
    </row>
    <row r="3" spans="1:26" ht="12.75">
      <c r="A3" s="3" t="s">
        <v>59</v>
      </c>
      <c r="B3" s="3" t="s">
        <v>61</v>
      </c>
      <c r="C3" s="3"/>
      <c r="D3" s="65" t="s">
        <v>62</v>
      </c>
      <c r="E3" s="57" t="s">
        <v>124</v>
      </c>
      <c r="G3" t="s">
        <v>54</v>
      </c>
      <c r="K3" s="28" t="s">
        <v>83</v>
      </c>
      <c r="O3" s="12"/>
      <c r="P3" s="15"/>
      <c r="Q3" s="185" t="s">
        <v>201</v>
      </c>
      <c r="R3" s="15"/>
      <c r="S3" s="15"/>
      <c r="T3" s="15"/>
      <c r="U3" s="15"/>
      <c r="V3" s="15"/>
      <c r="W3" s="116"/>
      <c r="X3" s="116"/>
      <c r="Y3" s="116"/>
      <c r="Z3" t="s">
        <v>147</v>
      </c>
    </row>
    <row r="4" spans="1:34" ht="12.75">
      <c r="A4" s="3" t="s">
        <v>63</v>
      </c>
      <c r="B4" s="106">
        <v>20</v>
      </c>
      <c r="C4" s="164">
        <v>23</v>
      </c>
      <c r="D4" s="156">
        <v>10</v>
      </c>
      <c r="E4" s="157">
        <f>SUM(B4:D4)</f>
        <v>53</v>
      </c>
      <c r="F4" s="2"/>
      <c r="G4" s="1">
        <f aca="true" t="shared" si="0" ref="G4:I6">$E4*B$7/$E$7</f>
        <v>17.79850746268657</v>
      </c>
      <c r="H4" s="1">
        <f t="shared" si="0"/>
        <v>20.96268656716418</v>
      </c>
      <c r="I4" s="1">
        <f t="shared" si="0"/>
        <v>14.238805970149254</v>
      </c>
      <c r="K4" s="13"/>
      <c r="L4" s="13">
        <f aca="true" t="shared" si="1" ref="L4:N6">(B4-G4)^2/G4</f>
        <v>0.2723020119528141</v>
      </c>
      <c r="M4" s="13">
        <f t="shared" si="1"/>
        <v>0.1980016259039439</v>
      </c>
      <c r="N4" s="13">
        <f t="shared" si="1"/>
        <v>1.2618667667949564</v>
      </c>
      <c r="O4" s="12"/>
      <c r="P4" s="118" t="s">
        <v>56</v>
      </c>
      <c r="Q4" s="118" t="s">
        <v>57</v>
      </c>
      <c r="R4" s="118" t="s">
        <v>41</v>
      </c>
      <c r="S4" s="118" t="s">
        <v>55</v>
      </c>
      <c r="T4" s="118" t="s">
        <v>126</v>
      </c>
      <c r="U4" s="118" t="s">
        <v>127</v>
      </c>
      <c r="V4" s="118" t="s">
        <v>42</v>
      </c>
      <c r="W4" s="118" t="s">
        <v>24</v>
      </c>
      <c r="X4" s="118" t="s">
        <v>24</v>
      </c>
      <c r="Y4" s="118" t="s">
        <v>24</v>
      </c>
      <c r="Z4" s="55"/>
      <c r="AA4" s="55" t="s">
        <v>90</v>
      </c>
      <c r="AB4" s="55"/>
      <c r="AC4" s="55"/>
      <c r="AD4" s="55"/>
      <c r="AE4" s="55" t="s">
        <v>97</v>
      </c>
      <c r="AF4" s="55"/>
      <c r="AG4" s="12"/>
      <c r="AH4" s="28" t="s">
        <v>142</v>
      </c>
    </row>
    <row r="5" spans="1:36" ht="12.75">
      <c r="A5" s="3"/>
      <c r="B5" s="161">
        <v>15</v>
      </c>
      <c r="C5" s="162">
        <v>7</v>
      </c>
      <c r="D5" s="162">
        <v>6</v>
      </c>
      <c r="E5" s="163">
        <f>SUM(B5:D5)</f>
        <v>28</v>
      </c>
      <c r="F5" s="2"/>
      <c r="G5" s="1">
        <f t="shared" si="0"/>
        <v>9.402985074626866</v>
      </c>
      <c r="H5" s="1">
        <f t="shared" si="0"/>
        <v>11.074626865671641</v>
      </c>
      <c r="I5" s="1">
        <f t="shared" si="0"/>
        <v>7.522388059701493</v>
      </c>
      <c r="K5" s="13"/>
      <c r="L5" s="13">
        <f t="shared" si="1"/>
        <v>3.331556503198294</v>
      </c>
      <c r="M5" s="13">
        <f t="shared" si="1"/>
        <v>1.499155167558434</v>
      </c>
      <c r="N5" s="13">
        <f t="shared" si="1"/>
        <v>0.3081023454157784</v>
      </c>
      <c r="O5" s="12"/>
      <c r="P5" s="117">
        <f aca="true" t="shared" si="2" ref="P5:S7">B4/B$7</f>
        <v>0.4444444444444444</v>
      </c>
      <c r="Q5" s="117">
        <f t="shared" si="2"/>
        <v>0.4339622641509434</v>
      </c>
      <c r="R5" s="117">
        <f t="shared" si="2"/>
        <v>0.2777777777777778</v>
      </c>
      <c r="S5" s="117">
        <f>E4/E$7</f>
        <v>0.39552238805970147</v>
      </c>
      <c r="T5" s="117">
        <f aca="true" t="shared" si="3" ref="T5:V7">P5-$S5</f>
        <v>0.04892205638474295</v>
      </c>
      <c r="U5" s="117">
        <f t="shared" si="3"/>
        <v>0.03843987609124194</v>
      </c>
      <c r="V5" s="117">
        <f t="shared" si="3"/>
        <v>-0.11774461028192368</v>
      </c>
      <c r="W5" s="117">
        <f aca="true" t="shared" si="4" ref="W5:Y7">$S5*(1-$S5)/B$7</f>
        <v>0.005312987302294498</v>
      </c>
      <c r="X5" s="117">
        <f t="shared" si="4"/>
        <v>0.004511026954778347</v>
      </c>
      <c r="Y5" s="117">
        <f t="shared" si="4"/>
        <v>0.0066412341278681225</v>
      </c>
      <c r="Z5" s="179" t="s">
        <v>139</v>
      </c>
      <c r="AA5" s="174">
        <f>B4</f>
        <v>20</v>
      </c>
      <c r="AB5" s="175">
        <f>C4</f>
        <v>23</v>
      </c>
      <c r="AC5" s="176">
        <f>D4</f>
        <v>10</v>
      </c>
      <c r="AD5" s="55">
        <f>SUM(AA5:AC5)</f>
        <v>53</v>
      </c>
      <c r="AE5" s="90">
        <f aca="true" t="shared" si="5" ref="AE5:AG6">$AD5*AA$7/$AD$7</f>
        <v>23.38235294117647</v>
      </c>
      <c r="AF5" s="90">
        <f t="shared" si="5"/>
        <v>20.264705882352942</v>
      </c>
      <c r="AG5" s="90">
        <f t="shared" si="5"/>
        <v>9.352941176470589</v>
      </c>
      <c r="AH5" s="2">
        <f aca="true" t="shared" si="6" ref="AH5:AJ6">(AA5-AE5)^2/AE5</f>
        <v>0.48927118017018134</v>
      </c>
      <c r="AI5" s="2">
        <f t="shared" si="6"/>
        <v>0.36920515666353604</v>
      </c>
      <c r="AJ5" s="2">
        <f t="shared" si="6"/>
        <v>0.04476507584165734</v>
      </c>
    </row>
    <row r="6" spans="1:36" ht="12.75">
      <c r="A6" s="3" t="s">
        <v>64</v>
      </c>
      <c r="B6" s="109">
        <v>10</v>
      </c>
      <c r="C6" s="165">
        <v>23</v>
      </c>
      <c r="D6" s="158">
        <v>20</v>
      </c>
      <c r="E6" s="159">
        <f>SUM(B6:D6)</f>
        <v>53</v>
      </c>
      <c r="F6" s="2"/>
      <c r="G6" s="1">
        <f t="shared" si="0"/>
        <v>17.79850746268657</v>
      </c>
      <c r="H6" s="1">
        <f t="shared" si="0"/>
        <v>20.96268656716418</v>
      </c>
      <c r="I6" s="1">
        <f t="shared" si="0"/>
        <v>14.238805970149254</v>
      </c>
      <c r="K6" s="13"/>
      <c r="L6" s="13">
        <f t="shared" si="1"/>
        <v>3.41695610000313</v>
      </c>
      <c r="M6" s="13">
        <f t="shared" si="1"/>
        <v>0.1980016259039439</v>
      </c>
      <c r="N6" s="13">
        <f t="shared" si="1"/>
        <v>2.331049156732062</v>
      </c>
      <c r="O6" s="12"/>
      <c r="P6" s="117">
        <f t="shared" si="2"/>
        <v>0.3333333333333333</v>
      </c>
      <c r="Q6" s="117">
        <f t="shared" si="2"/>
        <v>0.1320754716981132</v>
      </c>
      <c r="R6" s="117">
        <f t="shared" si="2"/>
        <v>0.16666666666666666</v>
      </c>
      <c r="S6" s="117">
        <f t="shared" si="2"/>
        <v>0.208955223880597</v>
      </c>
      <c r="T6" s="117">
        <f t="shared" si="3"/>
        <v>0.12437810945273631</v>
      </c>
      <c r="U6" s="117">
        <f t="shared" si="3"/>
        <v>-0.0768797521824838</v>
      </c>
      <c r="V6" s="117">
        <f t="shared" si="3"/>
        <v>-0.04228855721393035</v>
      </c>
      <c r="W6" s="117">
        <f t="shared" si="4"/>
        <v>0.0036731764065245916</v>
      </c>
      <c r="X6" s="117">
        <f t="shared" si="4"/>
        <v>0.0031187346847850305</v>
      </c>
      <c r="Y6" s="117">
        <f t="shared" si="4"/>
        <v>0.004591470508155739</v>
      </c>
      <c r="Z6" s="180"/>
      <c r="AA6" s="177">
        <f>B13</f>
        <v>10</v>
      </c>
      <c r="AB6" s="173">
        <f>C13</f>
        <v>3</v>
      </c>
      <c r="AC6" s="178">
        <f>D13</f>
        <v>2</v>
      </c>
      <c r="AD6" s="55">
        <f>SUM(AA6:AC6)</f>
        <v>15</v>
      </c>
      <c r="AE6" s="90">
        <f t="shared" si="5"/>
        <v>6.617647058823529</v>
      </c>
      <c r="AF6" s="90">
        <f t="shared" si="5"/>
        <v>5.735294117647059</v>
      </c>
      <c r="AG6" s="90">
        <f t="shared" si="5"/>
        <v>2.6470588235294117</v>
      </c>
      <c r="AH6" s="2">
        <f t="shared" si="6"/>
        <v>1.728758169934641</v>
      </c>
      <c r="AI6" s="2">
        <f t="shared" si="6"/>
        <v>1.304524886877828</v>
      </c>
      <c r="AJ6" s="2">
        <f t="shared" si="6"/>
        <v>0.15816993464052284</v>
      </c>
    </row>
    <row r="7" spans="2:36" ht="12.75">
      <c r="B7" s="112">
        <f>SUM(B4:B6)</f>
        <v>45</v>
      </c>
      <c r="C7" s="160">
        <f>SUM(C4:C6)</f>
        <v>53</v>
      </c>
      <c r="D7" s="160">
        <f>SUM(D4:D6)</f>
        <v>36</v>
      </c>
      <c r="E7" s="113">
        <f>SUM(E4:E6)</f>
        <v>134</v>
      </c>
      <c r="F7" s="2"/>
      <c r="G7" s="1"/>
      <c r="H7" s="1"/>
      <c r="I7" s="1"/>
      <c r="K7" s="63" t="s">
        <v>83</v>
      </c>
      <c r="L7" s="26">
        <f>SUM(L4:N6)</f>
        <v>12.816991303463357</v>
      </c>
      <c r="O7" s="12"/>
      <c r="P7" s="117">
        <f t="shared" si="2"/>
        <v>0.2222222222222222</v>
      </c>
      <c r="Q7" s="117">
        <f t="shared" si="2"/>
        <v>0.4339622641509434</v>
      </c>
      <c r="R7" s="117">
        <f t="shared" si="2"/>
        <v>0.5555555555555556</v>
      </c>
      <c r="S7" s="117">
        <f t="shared" si="2"/>
        <v>0.39552238805970147</v>
      </c>
      <c r="T7" s="117">
        <f t="shared" si="3"/>
        <v>-0.17330016583747926</v>
      </c>
      <c r="U7" s="117">
        <f t="shared" si="3"/>
        <v>0.03843987609124194</v>
      </c>
      <c r="V7" s="117">
        <f t="shared" si="3"/>
        <v>0.1600331674958541</v>
      </c>
      <c r="W7" s="117">
        <f t="shared" si="4"/>
        <v>0.005312987302294498</v>
      </c>
      <c r="X7" s="117">
        <f t="shared" si="4"/>
        <v>0.004511026954778347</v>
      </c>
      <c r="Y7" s="117">
        <f t="shared" si="4"/>
        <v>0.0066412341278681225</v>
      </c>
      <c r="Z7" s="180"/>
      <c r="AA7">
        <f>SUM(AA5:AA6)</f>
        <v>30</v>
      </c>
      <c r="AB7">
        <f>SUM(AB5:AB6)</f>
        <v>26</v>
      </c>
      <c r="AC7">
        <f>SUM(AC5:AC6)</f>
        <v>12</v>
      </c>
      <c r="AD7" s="55">
        <f>SUM(AA7:AC7)</f>
        <v>68</v>
      </c>
      <c r="AE7" s="90"/>
      <c r="AF7" s="14"/>
      <c r="AG7" s="2"/>
      <c r="AH7" s="2"/>
      <c r="AI7" s="2"/>
      <c r="AJ7" s="2">
        <f>SUM(AH5:AJ6)</f>
        <v>4.094694404128367</v>
      </c>
    </row>
    <row r="8" spans="2:36" ht="12.75">
      <c r="B8" s="5"/>
      <c r="C8" s="5"/>
      <c r="D8" s="5"/>
      <c r="E8" s="5"/>
      <c r="G8" s="1"/>
      <c r="H8" s="1"/>
      <c r="I8" s="1"/>
      <c r="K8" s="64" t="s">
        <v>53</v>
      </c>
      <c r="L8" s="26">
        <f>CHIDIST(L7,4)</f>
        <v>0.01220550439703669</v>
      </c>
      <c r="M8" s="3" t="b">
        <f>L8&lt;$B$18</f>
        <v>1</v>
      </c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80"/>
      <c r="AD8" s="55"/>
      <c r="AE8" s="90"/>
      <c r="AF8" s="14"/>
      <c r="AG8" s="2"/>
      <c r="AH8" s="2"/>
      <c r="AI8" s="2"/>
      <c r="AJ8" s="2"/>
    </row>
    <row r="9" spans="2:36" ht="12.75">
      <c r="B9" s="5"/>
      <c r="C9" s="5"/>
      <c r="D9" s="10" t="s">
        <v>70</v>
      </c>
      <c r="E9" s="5"/>
      <c r="K9" s="59"/>
      <c r="L9" s="18"/>
      <c r="O9" s="12"/>
      <c r="P9" s="117"/>
      <c r="Q9" s="117"/>
      <c r="R9" s="15"/>
      <c r="S9" s="117"/>
      <c r="T9" s="117"/>
      <c r="U9" s="117"/>
      <c r="V9" s="117"/>
      <c r="W9" s="117"/>
      <c r="X9" s="117"/>
      <c r="Y9" s="117"/>
      <c r="Z9" s="179" t="s">
        <v>140</v>
      </c>
      <c r="AA9" s="174">
        <f>B5</f>
        <v>15</v>
      </c>
      <c r="AB9" s="175">
        <f>C5</f>
        <v>7</v>
      </c>
      <c r="AC9" s="176">
        <f>D5</f>
        <v>6</v>
      </c>
      <c r="AD9" s="55">
        <f>SUM(AA9:AC9)</f>
        <v>28</v>
      </c>
      <c r="AE9" s="90">
        <f aca="true" t="shared" si="7" ref="AE9:AG10">$AD9*AA$11/$AD$11</f>
        <v>12.292682926829269</v>
      </c>
      <c r="AF9" s="90">
        <f t="shared" si="7"/>
        <v>7.512195121951219</v>
      </c>
      <c r="AG9" s="90">
        <f t="shared" si="7"/>
        <v>8.195121951219512</v>
      </c>
      <c r="AH9" s="2">
        <f aca="true" t="shared" si="8" ref="AH9:AJ10">(AA9-AE9)^2/AE9</f>
        <v>0.5962543554006967</v>
      </c>
      <c r="AI9" s="2">
        <f t="shared" si="8"/>
        <v>0.03492239467849218</v>
      </c>
      <c r="AJ9" s="2">
        <f t="shared" si="8"/>
        <v>0.5879790940766552</v>
      </c>
    </row>
    <row r="10" spans="2:36" ht="12.75">
      <c r="B10" s="5"/>
      <c r="C10" s="5"/>
      <c r="D10" s="5"/>
      <c r="E10" s="5"/>
      <c r="K10" s="3"/>
      <c r="O10" s="12"/>
      <c r="P10" s="117"/>
      <c r="Q10" s="117"/>
      <c r="R10" s="15"/>
      <c r="S10" s="117"/>
      <c r="T10" s="117"/>
      <c r="U10" s="117"/>
      <c r="V10" s="117"/>
      <c r="W10" s="117"/>
      <c r="X10" s="117"/>
      <c r="Y10" s="117"/>
      <c r="Z10" s="88"/>
      <c r="AA10" s="177">
        <f>B14</f>
        <v>3</v>
      </c>
      <c r="AB10" s="173">
        <f>C14</f>
        <v>4</v>
      </c>
      <c r="AC10" s="178">
        <f>D14</f>
        <v>6</v>
      </c>
      <c r="AD10" s="55">
        <f>SUM(AA10:AC10)</f>
        <v>13</v>
      </c>
      <c r="AE10" s="90">
        <f t="shared" si="7"/>
        <v>5.7073170731707314</v>
      </c>
      <c r="AF10" s="90">
        <f t="shared" si="7"/>
        <v>3.4878048780487805</v>
      </c>
      <c r="AG10" s="90">
        <f t="shared" si="7"/>
        <v>3.8048780487804876</v>
      </c>
      <c r="AH10" s="2">
        <f t="shared" si="8"/>
        <v>1.2842401500938083</v>
      </c>
      <c r="AI10" s="2">
        <f t="shared" si="8"/>
        <v>0.0752174654613679</v>
      </c>
      <c r="AJ10" s="2">
        <f t="shared" si="8"/>
        <v>1.2664165103189495</v>
      </c>
    </row>
    <row r="11" spans="2:36" ht="12.75">
      <c r="B11" s="5"/>
      <c r="C11" s="5"/>
      <c r="D11" s="5"/>
      <c r="E11" s="5"/>
      <c r="K11" s="3"/>
      <c r="L11" s="3"/>
      <c r="O11" s="12"/>
      <c r="P11" s="90"/>
      <c r="Q11" s="88"/>
      <c r="S11" s="88"/>
      <c r="T11" s="88"/>
      <c r="U11" s="88"/>
      <c r="V11" s="88"/>
      <c r="W11" s="88"/>
      <c r="X11" s="88"/>
      <c r="Y11" s="88"/>
      <c r="Z11" s="88"/>
      <c r="AA11">
        <f>SUM(AA9:AA10)</f>
        <v>18</v>
      </c>
      <c r="AB11">
        <f>SUM(AB9:AB10)</f>
        <v>11</v>
      </c>
      <c r="AC11">
        <f>SUM(AC9:AC10)</f>
        <v>12</v>
      </c>
      <c r="AD11" s="55">
        <f>SUM(AA11:AC11)</f>
        <v>41</v>
      </c>
      <c r="AE11" s="90"/>
      <c r="AF11" s="14"/>
      <c r="AG11" s="2"/>
      <c r="AH11" s="2"/>
      <c r="AI11" s="2"/>
      <c r="AJ11" s="2">
        <f>SUM(AH9:AJ10)</f>
        <v>3.8450299700299704</v>
      </c>
    </row>
    <row r="12" spans="1:36" ht="12.75">
      <c r="A12" s="3" t="s">
        <v>60</v>
      </c>
      <c r="B12" s="3" t="s">
        <v>61</v>
      </c>
      <c r="C12" s="3"/>
      <c r="D12" s="3" t="s">
        <v>62</v>
      </c>
      <c r="E12" s="3" t="s">
        <v>124</v>
      </c>
      <c r="G12" t="s">
        <v>54</v>
      </c>
      <c r="K12" s="28" t="s">
        <v>83</v>
      </c>
      <c r="O12" s="12"/>
      <c r="P12" s="12"/>
      <c r="Q12" s="14"/>
      <c r="S12" s="2"/>
      <c r="T12" s="90"/>
      <c r="U12" s="90"/>
      <c r="V12" s="90"/>
      <c r="W12" s="90"/>
      <c r="X12" s="90"/>
      <c r="Y12" s="90"/>
      <c r="Z12" s="88"/>
      <c r="AD12" s="55"/>
      <c r="AE12" s="90"/>
      <c r="AF12" s="14"/>
      <c r="AG12" s="2"/>
      <c r="AH12" s="2"/>
      <c r="AI12" s="2"/>
      <c r="AJ12" s="2"/>
    </row>
    <row r="13" spans="1:36" ht="12.75">
      <c r="A13" s="3" t="s">
        <v>63</v>
      </c>
      <c r="B13" s="106">
        <v>10</v>
      </c>
      <c r="C13" s="164">
        <v>3</v>
      </c>
      <c r="D13" s="156">
        <v>2</v>
      </c>
      <c r="E13" s="157">
        <f>SUM(B13:D13)</f>
        <v>15</v>
      </c>
      <c r="F13" s="2"/>
      <c r="G13" s="1">
        <f aca="true" t="shared" si="9" ref="G13:I15">$E13*B$16/$E$16</f>
        <v>4.7368421052631575</v>
      </c>
      <c r="H13" s="1">
        <f t="shared" si="9"/>
        <v>2.1052631578947367</v>
      </c>
      <c r="I13" s="1">
        <f t="shared" si="9"/>
        <v>8.157894736842104</v>
      </c>
      <c r="K13" s="13"/>
      <c r="L13" s="13">
        <f aca="true" t="shared" si="10" ref="L13:N15">(B13-G13)^2/G13</f>
        <v>5.847953216374271</v>
      </c>
      <c r="M13" s="13">
        <f t="shared" si="10"/>
        <v>0.38026315789473697</v>
      </c>
      <c r="N13" s="13">
        <f t="shared" si="10"/>
        <v>4.648217317487266</v>
      </c>
      <c r="O13" s="12"/>
      <c r="P13" s="118" t="s">
        <v>56</v>
      </c>
      <c r="Q13" s="118" t="s">
        <v>57</v>
      </c>
      <c r="R13" s="118" t="s">
        <v>41</v>
      </c>
      <c r="S13" s="118" t="s">
        <v>55</v>
      </c>
      <c r="T13" s="118" t="s">
        <v>126</v>
      </c>
      <c r="U13" s="118" t="s">
        <v>127</v>
      </c>
      <c r="V13" s="118" t="s">
        <v>42</v>
      </c>
      <c r="W13" s="118" t="s">
        <v>24</v>
      </c>
      <c r="X13" s="118" t="s">
        <v>24</v>
      </c>
      <c r="Y13" s="118" t="s">
        <v>24</v>
      </c>
      <c r="Z13" s="88"/>
      <c r="AA13" s="55"/>
      <c r="AB13" s="55"/>
      <c r="AC13" s="55"/>
      <c r="AD13" s="55"/>
      <c r="AE13" s="90"/>
      <c r="AF13" s="14"/>
      <c r="AG13" s="2"/>
      <c r="AH13" s="2"/>
      <c r="AI13" s="2"/>
      <c r="AJ13" s="2"/>
    </row>
    <row r="14" spans="1:36" ht="12.75">
      <c r="A14" s="3"/>
      <c r="B14" s="161">
        <v>3</v>
      </c>
      <c r="C14" s="162">
        <v>4</v>
      </c>
      <c r="D14" s="162">
        <v>6</v>
      </c>
      <c r="E14" s="163">
        <f>SUM(B14:D14)</f>
        <v>13</v>
      </c>
      <c r="F14" s="2"/>
      <c r="G14" s="1">
        <f t="shared" si="9"/>
        <v>4.105263157894737</v>
      </c>
      <c r="H14" s="1">
        <f t="shared" si="9"/>
        <v>1.8245614035087718</v>
      </c>
      <c r="I14" s="1">
        <f t="shared" si="9"/>
        <v>7.0701754385964914</v>
      </c>
      <c r="K14" s="13"/>
      <c r="L14" s="13">
        <f t="shared" si="10"/>
        <v>0.2975708502024293</v>
      </c>
      <c r="M14" s="13">
        <f t="shared" si="10"/>
        <v>2.5937921727395414</v>
      </c>
      <c r="N14" s="13">
        <f t="shared" si="10"/>
        <v>0.16198685298855084</v>
      </c>
      <c r="O14" s="12"/>
      <c r="P14" s="117">
        <f aca="true" t="shared" si="11" ref="P14:Q16">B13/B$16</f>
        <v>0.5555555555555556</v>
      </c>
      <c r="Q14" s="117">
        <f t="shared" si="11"/>
        <v>0.375</v>
      </c>
      <c r="R14" s="117">
        <f aca="true" t="shared" si="12" ref="R14:S16">D13/D$16</f>
        <v>0.06451612903225806</v>
      </c>
      <c r="S14" s="117">
        <f t="shared" si="12"/>
        <v>0.2631578947368421</v>
      </c>
      <c r="T14" s="117">
        <f aca="true" t="shared" si="13" ref="T14:V16">P14-$S14</f>
        <v>0.2923976608187135</v>
      </c>
      <c r="U14" s="117">
        <f t="shared" si="13"/>
        <v>0.11184210526315791</v>
      </c>
      <c r="V14" s="117">
        <f t="shared" si="13"/>
        <v>-0.19864176570458403</v>
      </c>
      <c r="W14" s="117">
        <f aca="true" t="shared" si="14" ref="W14:Y16">$S14*(1-$S14)/B$16</f>
        <v>0.010772545398584181</v>
      </c>
      <c r="X14" s="117">
        <f t="shared" si="14"/>
        <v>0.024238227146814405</v>
      </c>
      <c r="Y14" s="117">
        <f t="shared" si="14"/>
        <v>0.006255026360468234</v>
      </c>
      <c r="Z14" s="179" t="s">
        <v>141</v>
      </c>
      <c r="AA14" s="174">
        <f>B6</f>
        <v>10</v>
      </c>
      <c r="AB14" s="175">
        <f>C6</f>
        <v>23</v>
      </c>
      <c r="AC14" s="176">
        <f>D6</f>
        <v>20</v>
      </c>
      <c r="AD14" s="55">
        <f>SUM(AA14:AC14)</f>
        <v>53</v>
      </c>
      <c r="AE14" s="90">
        <f aca="true" t="shared" si="15" ref="AE14:AG15">$AD14*AA$16/$AD$16</f>
        <v>9.695121951219512</v>
      </c>
      <c r="AF14" s="90">
        <f t="shared" si="15"/>
        <v>15.512195121951219</v>
      </c>
      <c r="AG14" s="90">
        <f t="shared" si="15"/>
        <v>27.79268292682927</v>
      </c>
      <c r="AH14" s="2">
        <f aca="true" t="shared" si="16" ref="AH14:AJ15">(AA14-AE14)^2/AE14</f>
        <v>0.00958736002454363</v>
      </c>
      <c r="AI14" s="2">
        <f t="shared" si="16"/>
        <v>3.614396379812855</v>
      </c>
      <c r="AJ14" s="2">
        <f t="shared" si="16"/>
        <v>2.18496024144094</v>
      </c>
    </row>
    <row r="15" spans="1:36" ht="12.75">
      <c r="A15" s="3" t="s">
        <v>64</v>
      </c>
      <c r="B15" s="109">
        <v>5</v>
      </c>
      <c r="C15" s="165">
        <v>1</v>
      </c>
      <c r="D15" s="158">
        <v>23</v>
      </c>
      <c r="E15" s="159">
        <f>SUM(B15:D15)</f>
        <v>29</v>
      </c>
      <c r="F15" s="2"/>
      <c r="G15" s="1">
        <f t="shared" si="9"/>
        <v>9.157894736842104</v>
      </c>
      <c r="H15" s="1">
        <f t="shared" si="9"/>
        <v>4.0701754385964914</v>
      </c>
      <c r="I15" s="1">
        <f t="shared" si="9"/>
        <v>15.771929824561404</v>
      </c>
      <c r="K15" s="13"/>
      <c r="L15" s="13">
        <f t="shared" si="10"/>
        <v>1.887779794313369</v>
      </c>
      <c r="M15" s="13">
        <f t="shared" si="10"/>
        <v>2.315865093768905</v>
      </c>
      <c r="N15" s="13">
        <f t="shared" si="10"/>
        <v>3.312530491969634</v>
      </c>
      <c r="O15" s="12"/>
      <c r="P15" s="117">
        <f t="shared" si="11"/>
        <v>0.16666666666666666</v>
      </c>
      <c r="Q15" s="117">
        <f t="shared" si="11"/>
        <v>0.5</v>
      </c>
      <c r="R15" s="117">
        <f t="shared" si="12"/>
        <v>0.1935483870967742</v>
      </c>
      <c r="S15" s="117">
        <f t="shared" si="12"/>
        <v>0.22807017543859648</v>
      </c>
      <c r="T15" s="117">
        <f t="shared" si="13"/>
        <v>-0.06140350877192982</v>
      </c>
      <c r="U15" s="117">
        <f t="shared" si="13"/>
        <v>0.2719298245614035</v>
      </c>
      <c r="V15" s="117">
        <f t="shared" si="13"/>
        <v>-0.03452178834182229</v>
      </c>
      <c r="W15" s="117">
        <f t="shared" si="14"/>
        <v>0.009780787250778016</v>
      </c>
      <c r="X15" s="117">
        <f t="shared" si="14"/>
        <v>0.022006771314250537</v>
      </c>
      <c r="Y15" s="117">
        <f t="shared" si="14"/>
        <v>0.005679166790774332</v>
      </c>
      <c r="Z15" s="90"/>
      <c r="AA15" s="177">
        <f>B15</f>
        <v>5</v>
      </c>
      <c r="AB15" s="173">
        <f>C15</f>
        <v>1</v>
      </c>
      <c r="AC15" s="178">
        <f>D15</f>
        <v>23</v>
      </c>
      <c r="AD15" s="55">
        <f>SUM(AA15:AC15)</f>
        <v>29</v>
      </c>
      <c r="AE15" s="90">
        <f t="shared" si="15"/>
        <v>5.304878048780488</v>
      </c>
      <c r="AF15" s="90">
        <f t="shared" si="15"/>
        <v>8.487804878048781</v>
      </c>
      <c r="AG15" s="90">
        <f t="shared" si="15"/>
        <v>15.207317073170731</v>
      </c>
      <c r="AH15" s="2">
        <f t="shared" si="16"/>
        <v>0.017521726941407325</v>
      </c>
      <c r="AI15" s="2">
        <f t="shared" si="16"/>
        <v>6.6056209700028035</v>
      </c>
      <c r="AJ15" s="2">
        <f t="shared" si="16"/>
        <v>3.993203199874822</v>
      </c>
    </row>
    <row r="16" spans="2:36" ht="12.75">
      <c r="B16" s="91">
        <f>SUM(B13:B15)</f>
        <v>18</v>
      </c>
      <c r="C16" s="115">
        <f>SUM(C13:C15)</f>
        <v>8</v>
      </c>
      <c r="D16" s="115">
        <f>SUM(D13:D15)</f>
        <v>31</v>
      </c>
      <c r="E16" s="92">
        <f>SUM(E13:E15)</f>
        <v>57</v>
      </c>
      <c r="F16" s="2"/>
      <c r="G16" s="1"/>
      <c r="H16" s="1"/>
      <c r="I16" s="1"/>
      <c r="K16" s="63" t="s">
        <v>83</v>
      </c>
      <c r="L16" s="26">
        <f>SUM(L13:N15)</f>
        <v>21.445958947738703</v>
      </c>
      <c r="O16" s="12"/>
      <c r="P16" s="117">
        <f t="shared" si="11"/>
        <v>0.2777777777777778</v>
      </c>
      <c r="Q16" s="117">
        <f t="shared" si="11"/>
        <v>0.125</v>
      </c>
      <c r="R16" s="117">
        <f t="shared" si="12"/>
        <v>0.7419354838709677</v>
      </c>
      <c r="S16" s="117">
        <f t="shared" si="12"/>
        <v>0.5087719298245614</v>
      </c>
      <c r="T16" s="117">
        <f t="shared" si="13"/>
        <v>-0.23099415204678364</v>
      </c>
      <c r="U16" s="117">
        <f t="shared" si="13"/>
        <v>-0.38377192982456143</v>
      </c>
      <c r="V16" s="117">
        <f t="shared" si="13"/>
        <v>0.23316355404640632</v>
      </c>
      <c r="W16" s="117">
        <f t="shared" si="14"/>
        <v>0.013884614069286276</v>
      </c>
      <c r="X16" s="117">
        <f t="shared" si="14"/>
        <v>0.03124038165589412</v>
      </c>
      <c r="Y16" s="117">
        <f t="shared" si="14"/>
        <v>0.008062033975714611</v>
      </c>
      <c r="Z16" s="90"/>
      <c r="AA16">
        <f>SUM(AA14:AA15)</f>
        <v>15</v>
      </c>
      <c r="AB16">
        <f>SUM(AB14:AB15)</f>
        <v>24</v>
      </c>
      <c r="AC16">
        <f>SUM(AC14:AC15)</f>
        <v>43</v>
      </c>
      <c r="AD16" s="55">
        <f>SUM(AA16:AC16)</f>
        <v>82</v>
      </c>
      <c r="AE16" s="90"/>
      <c r="AF16" s="90"/>
      <c r="AG16" s="14"/>
      <c r="AH16" s="2"/>
      <c r="AI16" s="2"/>
      <c r="AJ16" s="2">
        <f>SUM(AH14:AJ15)</f>
        <v>16.425289878097374</v>
      </c>
    </row>
    <row r="17" spans="7:37" ht="12.75">
      <c r="G17" s="1"/>
      <c r="H17" s="1"/>
      <c r="I17" s="1"/>
      <c r="K17" s="64" t="s">
        <v>53</v>
      </c>
      <c r="L17" s="26">
        <f>CHIDIST(L16,4)</f>
        <v>0.00025828976047777286</v>
      </c>
      <c r="M17" s="3" t="b">
        <f>L17&lt;$B$18</f>
        <v>1</v>
      </c>
      <c r="O17" s="1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90"/>
      <c r="AA17" s="90"/>
      <c r="AB17" s="90"/>
      <c r="AC17" s="55"/>
      <c r="AD17" s="55"/>
      <c r="AE17" s="90"/>
      <c r="AF17" s="90"/>
      <c r="AG17" s="14"/>
      <c r="AH17" s="2"/>
      <c r="AI17" s="28" t="s">
        <v>83</v>
      </c>
      <c r="AJ17" s="7">
        <f>AJ7+AJ11+AJ16</f>
        <v>24.365014252255712</v>
      </c>
      <c r="AK17" s="3"/>
    </row>
    <row r="18" spans="1:37" ht="12.75">
      <c r="A18" s="3" t="s">
        <v>53</v>
      </c>
      <c r="B18" s="25">
        <v>0.05</v>
      </c>
      <c r="C18" s="25"/>
      <c r="D18" s="10" t="s">
        <v>79</v>
      </c>
      <c r="E18" s="3"/>
      <c r="K18" s="59"/>
      <c r="L18" s="18"/>
      <c r="O18" s="12"/>
      <c r="P18" s="15"/>
      <c r="Q18" s="15"/>
      <c r="R18" s="15"/>
      <c r="S18" s="15"/>
      <c r="T18" s="15"/>
      <c r="U18" s="15"/>
      <c r="V18" s="15"/>
      <c r="W18" s="117">
        <f aca="true" t="shared" si="17" ref="W18:Y20">(T5-T14)^2/(W5+W14)</f>
        <v>3.6853221498377278</v>
      </c>
      <c r="X18" s="117">
        <f t="shared" si="17"/>
        <v>0.18740963603323446</v>
      </c>
      <c r="Y18" s="117">
        <f t="shared" si="17"/>
        <v>0.5074610396864199</v>
      </c>
      <c r="Z18" s="55"/>
      <c r="AF18" s="90"/>
      <c r="AG18" s="2"/>
      <c r="AH18" s="2"/>
      <c r="AI18" s="2" t="s">
        <v>53</v>
      </c>
      <c r="AJ18" s="7">
        <f>CHIDIST(AJ17,6)</f>
        <v>0.00044736538452586224</v>
      </c>
      <c r="AK18" s="3" t="b">
        <f>AJ18&lt;0.05</f>
        <v>1</v>
      </c>
    </row>
    <row r="19" spans="1:32" ht="12.75">
      <c r="A19" s="3" t="s">
        <v>78</v>
      </c>
      <c r="B19" s="13">
        <f>NORMSINV(1-(B18/2))</f>
        <v>1.959963984540054</v>
      </c>
      <c r="C19" s="13"/>
      <c r="O19" s="12"/>
      <c r="P19" s="15"/>
      <c r="Q19" s="15"/>
      <c r="R19" s="15"/>
      <c r="S19" s="15"/>
      <c r="T19" s="15"/>
      <c r="U19" s="15"/>
      <c r="V19" s="15"/>
      <c r="W19" s="117">
        <f t="shared" si="17"/>
        <v>2.565400840178536</v>
      </c>
      <c r="X19" s="117">
        <f t="shared" si="17"/>
        <v>4.842414749096795</v>
      </c>
      <c r="Y19" s="117">
        <f t="shared" si="17"/>
        <v>0.005873316032592324</v>
      </c>
      <c r="Z19" s="55" t="s">
        <v>146</v>
      </c>
      <c r="AF19" s="55"/>
    </row>
    <row r="20" spans="15:35" ht="12.75">
      <c r="O20" s="12"/>
      <c r="U20" s="12"/>
      <c r="V20" s="15"/>
      <c r="W20" s="117">
        <f t="shared" si="17"/>
        <v>0.17338603819781886</v>
      </c>
      <c r="X20" s="117">
        <f t="shared" si="17"/>
        <v>4.986175817460496</v>
      </c>
      <c r="Y20" s="117">
        <f t="shared" si="17"/>
        <v>0.3637322940285657</v>
      </c>
      <c r="Z20" s="179" t="s">
        <v>143</v>
      </c>
      <c r="AA20" s="174">
        <f>B4</f>
        <v>20</v>
      </c>
      <c r="AB20" s="176">
        <f>B13</f>
        <v>10</v>
      </c>
      <c r="AC20">
        <f>SUM(AA20:AB20)</f>
        <v>30</v>
      </c>
      <c r="AD20" s="55"/>
      <c r="AE20" s="90">
        <f aca="true" t="shared" si="18" ref="AE20:AF22">$AC20*AA$23/$AC$23</f>
        <v>21.428571428571427</v>
      </c>
      <c r="AF20" s="90">
        <f t="shared" si="18"/>
        <v>8.571428571428571</v>
      </c>
      <c r="AG20" s="90"/>
      <c r="AH20" s="90">
        <f aca="true" t="shared" si="19" ref="AH20:AI22">(AA20-AE20)^2/AE20</f>
        <v>0.09523809523809504</v>
      </c>
      <c r="AI20" s="90">
        <f t="shared" si="19"/>
        <v>0.23809523809523822</v>
      </c>
    </row>
    <row r="21" spans="21:35" ht="12.75">
      <c r="U21" s="28"/>
      <c r="V21" s="63" t="s">
        <v>83</v>
      </c>
      <c r="W21" s="69">
        <f>SUM(W18:Y20)/2</f>
        <v>8.658587940276092</v>
      </c>
      <c r="X21" s="69"/>
      <c r="Y21" s="69"/>
      <c r="Z21" s="181"/>
      <c r="AA21" s="183">
        <f>B5</f>
        <v>15</v>
      </c>
      <c r="AB21" s="184">
        <f>B14</f>
        <v>3</v>
      </c>
      <c r="AC21">
        <f>SUM(AA21:AB21)</f>
        <v>18</v>
      </c>
      <c r="AD21" s="55"/>
      <c r="AE21" s="90">
        <f t="shared" si="18"/>
        <v>12.857142857142858</v>
      </c>
      <c r="AF21" s="90">
        <f t="shared" si="18"/>
        <v>5.142857142857143</v>
      </c>
      <c r="AG21" s="90"/>
      <c r="AH21" s="90">
        <f t="shared" si="19"/>
        <v>0.35714285714285693</v>
      </c>
      <c r="AI21" s="90">
        <f t="shared" si="19"/>
        <v>0.892857142857143</v>
      </c>
    </row>
    <row r="22" spans="1:35" ht="12.75" customHeight="1">
      <c r="A22" s="94" t="s">
        <v>49</v>
      </c>
      <c r="B22" s="121"/>
      <c r="C22" s="122"/>
      <c r="D22" s="121"/>
      <c r="E22" s="121"/>
      <c r="F22" s="121"/>
      <c r="G22" s="121"/>
      <c r="H22" s="121"/>
      <c r="I22" s="121"/>
      <c r="K22" s="123" t="s">
        <v>31</v>
      </c>
      <c r="L22" s="135"/>
      <c r="M22" s="135"/>
      <c r="N22" s="135"/>
      <c r="O22" s="147"/>
      <c r="P22" s="135"/>
      <c r="Q22" s="135"/>
      <c r="R22" s="135"/>
      <c r="U22" s="119"/>
      <c r="V22" s="64" t="s">
        <v>53</v>
      </c>
      <c r="W22" s="18">
        <f>CHIDIST(W21,4)</f>
        <v>0.07022329369048629</v>
      </c>
      <c r="X22" s="18" t="b">
        <f>W22&lt;0.05</f>
        <v>0</v>
      </c>
      <c r="Y22" s="18"/>
      <c r="Z22" s="182"/>
      <c r="AA22" s="177">
        <f>B6</f>
        <v>10</v>
      </c>
      <c r="AB22" s="178">
        <f>B15</f>
        <v>5</v>
      </c>
      <c r="AC22">
        <f>SUM(AA22:AB22)</f>
        <v>15</v>
      </c>
      <c r="AE22" s="90">
        <f t="shared" si="18"/>
        <v>10.714285714285714</v>
      </c>
      <c r="AF22" s="90">
        <f t="shared" si="18"/>
        <v>4.285714285714286</v>
      </c>
      <c r="AG22" s="90"/>
      <c r="AH22" s="90">
        <f t="shared" si="19"/>
        <v>0.04761904761904752</v>
      </c>
      <c r="AI22" s="90">
        <f t="shared" si="19"/>
        <v>0.11904761904761911</v>
      </c>
    </row>
    <row r="23" spans="1:35" ht="12.75">
      <c r="A23" s="123" t="s">
        <v>32</v>
      </c>
      <c r="B23" s="121"/>
      <c r="C23" s="121"/>
      <c r="D23" s="121"/>
      <c r="E23" s="121"/>
      <c r="F23" s="121"/>
      <c r="G23" s="121" t="s">
        <v>54</v>
      </c>
      <c r="H23" s="121"/>
      <c r="I23" s="121"/>
      <c r="K23" s="136" t="s">
        <v>44</v>
      </c>
      <c r="L23" s="135"/>
      <c r="M23" s="135"/>
      <c r="N23" s="135"/>
      <c r="O23" s="135"/>
      <c r="P23" s="136" t="s">
        <v>45</v>
      </c>
      <c r="Q23" s="137"/>
      <c r="R23" s="148"/>
      <c r="S23" s="12"/>
      <c r="T23" s="12"/>
      <c r="U23" s="12"/>
      <c r="V23" s="12"/>
      <c r="W23" s="12"/>
      <c r="X23" s="12"/>
      <c r="Y23" s="12"/>
      <c r="Z23" s="182"/>
      <c r="AA23" s="55">
        <f>SUM(AA20:AA22)</f>
        <v>45</v>
      </c>
      <c r="AB23" s="55">
        <f>SUM(AB20:AB22)</f>
        <v>18</v>
      </c>
      <c r="AC23">
        <f>SUM(AA23:AB23)</f>
        <v>63</v>
      </c>
      <c r="AE23" s="90"/>
      <c r="AF23" s="90"/>
      <c r="AG23" s="90"/>
      <c r="AH23" s="90"/>
      <c r="AI23" s="90">
        <f>SUM(AH20:AI22)</f>
        <v>1.7499999999999998</v>
      </c>
    </row>
    <row r="24" spans="1:35" ht="12.75">
      <c r="A24" s="121"/>
      <c r="B24" s="124">
        <f aca="true" t="shared" si="20" ref="B24:E27">B4+B13</f>
        <v>30</v>
      </c>
      <c r="C24" s="125">
        <f t="shared" si="20"/>
        <v>26</v>
      </c>
      <c r="D24" s="126">
        <f t="shared" si="20"/>
        <v>12</v>
      </c>
      <c r="E24" s="127">
        <f t="shared" si="20"/>
        <v>68</v>
      </c>
      <c r="F24" s="121"/>
      <c r="G24" s="128">
        <f aca="true" t="shared" si="21" ref="G24:I26">$E24*B$27/$E$27</f>
        <v>22.42931937172775</v>
      </c>
      <c r="H24" s="128">
        <f t="shared" si="21"/>
        <v>21.717277486910994</v>
      </c>
      <c r="I24" s="128">
        <f t="shared" si="21"/>
        <v>23.853403141361255</v>
      </c>
      <c r="K24" s="138"/>
      <c r="L24" s="138">
        <f aca="true" t="shared" si="22" ref="L24:N26">(B24-G24)^2/G24</f>
        <v>2.5553697918958145</v>
      </c>
      <c r="M24" s="138">
        <f t="shared" si="22"/>
        <v>0.8445677472774366</v>
      </c>
      <c r="N24" s="138">
        <f t="shared" si="22"/>
        <v>5.890277592634302</v>
      </c>
      <c r="O24" s="135"/>
      <c r="P24" s="139">
        <f aca="true" t="shared" si="23" ref="P24:R26">L4+L13-L24</f>
        <v>3.564885436431271</v>
      </c>
      <c r="Q24" s="139">
        <f t="shared" si="23"/>
        <v>-0.2663029634787557</v>
      </c>
      <c r="R24" s="139">
        <f t="shared" si="23"/>
        <v>0.0198064916479197</v>
      </c>
      <c r="S24" s="12"/>
      <c r="T24" s="12"/>
      <c r="U24" s="12"/>
      <c r="V24" s="12"/>
      <c r="W24" s="12"/>
      <c r="X24" s="12"/>
      <c r="Y24" s="12"/>
      <c r="Z24" s="182"/>
      <c r="AA24" s="55"/>
      <c r="AE24" s="90"/>
      <c r="AF24" s="90"/>
      <c r="AG24" s="90"/>
      <c r="AH24" s="90"/>
      <c r="AI24" s="90"/>
    </row>
    <row r="25" spans="1:35" ht="12.75">
      <c r="A25" s="121"/>
      <c r="B25" s="129">
        <f t="shared" si="20"/>
        <v>18</v>
      </c>
      <c r="C25" s="130">
        <f t="shared" si="20"/>
        <v>11</v>
      </c>
      <c r="D25" s="131">
        <f t="shared" si="20"/>
        <v>12</v>
      </c>
      <c r="E25" s="127">
        <f t="shared" si="20"/>
        <v>41</v>
      </c>
      <c r="F25" s="121"/>
      <c r="G25" s="128">
        <f t="shared" si="21"/>
        <v>13.523560209424083</v>
      </c>
      <c r="H25" s="128">
        <f t="shared" si="21"/>
        <v>13.094240837696335</v>
      </c>
      <c r="I25" s="128">
        <f t="shared" si="21"/>
        <v>14.38219895287958</v>
      </c>
      <c r="K25" s="138"/>
      <c r="L25" s="138">
        <f t="shared" si="22"/>
        <v>1.4817483627341888</v>
      </c>
      <c r="M25" s="138">
        <f t="shared" si="22"/>
        <v>0.3349445562089299</v>
      </c>
      <c r="N25" s="138">
        <f t="shared" si="22"/>
        <v>0.394576091576341</v>
      </c>
      <c r="O25" s="135"/>
      <c r="P25" s="139">
        <f t="shared" si="23"/>
        <v>2.1473789906665344</v>
      </c>
      <c r="Q25" s="139">
        <f t="shared" si="23"/>
        <v>3.7580027840890455</v>
      </c>
      <c r="R25" s="139">
        <f t="shared" si="23"/>
        <v>0.07551310682798829</v>
      </c>
      <c r="S25" s="12"/>
      <c r="T25" s="12"/>
      <c r="U25" s="12"/>
      <c r="V25" s="12"/>
      <c r="W25" s="12"/>
      <c r="X25" s="12"/>
      <c r="Y25" s="12"/>
      <c r="Z25" s="182" t="s">
        <v>144</v>
      </c>
      <c r="AA25" s="174">
        <f>C4</f>
        <v>23</v>
      </c>
      <c r="AB25" s="176">
        <f>C13</f>
        <v>3</v>
      </c>
      <c r="AC25">
        <f>SUM(AA25:AB25)</f>
        <v>26</v>
      </c>
      <c r="AE25" s="90">
        <f aca="true" t="shared" si="24" ref="AE25:AF27">$AC25*AA$28/$AC$28</f>
        <v>22.59016393442623</v>
      </c>
      <c r="AF25" s="90">
        <f t="shared" si="24"/>
        <v>3.4098360655737703</v>
      </c>
      <c r="AG25" s="90"/>
      <c r="AH25" s="90">
        <f aca="true" t="shared" si="25" ref="AH25:AI27">(AA25-AE25)^2/AE25</f>
        <v>0.007435342263675091</v>
      </c>
      <c r="AI25" s="90">
        <f t="shared" si="25"/>
        <v>0.04925914249684736</v>
      </c>
    </row>
    <row r="26" spans="1:35" ht="12.75">
      <c r="A26" s="121"/>
      <c r="B26" s="132">
        <f t="shared" si="20"/>
        <v>15</v>
      </c>
      <c r="C26" s="133">
        <f t="shared" si="20"/>
        <v>24</v>
      </c>
      <c r="D26" s="134">
        <f t="shared" si="20"/>
        <v>43</v>
      </c>
      <c r="E26" s="127">
        <f t="shared" si="20"/>
        <v>82</v>
      </c>
      <c r="F26" s="121"/>
      <c r="G26" s="128">
        <f t="shared" si="21"/>
        <v>27.047120418848166</v>
      </c>
      <c r="H26" s="128">
        <f t="shared" si="21"/>
        <v>26.18848167539267</v>
      </c>
      <c r="I26" s="128">
        <f t="shared" si="21"/>
        <v>28.76439790575916</v>
      </c>
      <c r="K26" s="135"/>
      <c r="L26" s="138">
        <f t="shared" si="22"/>
        <v>5.36593574985862</v>
      </c>
      <c r="M26" s="138">
        <f t="shared" si="22"/>
        <v>0.18288391449702826</v>
      </c>
      <c r="N26" s="138">
        <f t="shared" si="22"/>
        <v>7.045249744128294</v>
      </c>
      <c r="O26" s="135"/>
      <c r="P26" s="139">
        <f t="shared" si="23"/>
        <v>-0.06119985554212093</v>
      </c>
      <c r="Q26" s="139">
        <f t="shared" si="23"/>
        <v>2.330982805175821</v>
      </c>
      <c r="R26" s="139">
        <f t="shared" si="23"/>
        <v>-1.4016700954265984</v>
      </c>
      <c r="S26" s="12"/>
      <c r="T26" s="12"/>
      <c r="U26" s="12"/>
      <c r="V26" s="12"/>
      <c r="W26" s="12"/>
      <c r="X26" s="12"/>
      <c r="Y26" s="12"/>
      <c r="Z26" s="182"/>
      <c r="AA26" s="183">
        <f>C5</f>
        <v>7</v>
      </c>
      <c r="AB26" s="184">
        <f>C14</f>
        <v>4</v>
      </c>
      <c r="AC26">
        <f>SUM(AA26:AB26)</f>
        <v>11</v>
      </c>
      <c r="AE26" s="90">
        <f t="shared" si="24"/>
        <v>9.557377049180328</v>
      </c>
      <c r="AF26" s="90">
        <f t="shared" si="24"/>
        <v>1.4426229508196722</v>
      </c>
      <c r="AG26" s="90"/>
      <c r="AH26" s="90">
        <f t="shared" si="25"/>
        <v>0.6843067232798135</v>
      </c>
      <c r="AI26" s="90">
        <f t="shared" si="25"/>
        <v>4.533532041728764</v>
      </c>
    </row>
    <row r="27" spans="1:35" ht="12.75">
      <c r="A27" s="121"/>
      <c r="B27" s="127">
        <f t="shared" si="20"/>
        <v>63</v>
      </c>
      <c r="C27" s="127">
        <f t="shared" si="20"/>
        <v>61</v>
      </c>
      <c r="D27" s="127">
        <f t="shared" si="20"/>
        <v>67</v>
      </c>
      <c r="E27" s="127">
        <f t="shared" si="20"/>
        <v>191</v>
      </c>
      <c r="F27" s="121"/>
      <c r="G27" s="121"/>
      <c r="H27" s="121"/>
      <c r="I27" s="121"/>
      <c r="K27" s="141" t="s">
        <v>46</v>
      </c>
      <c r="L27" s="142">
        <f>SUM(L24:N26)</f>
        <v>24.095553550810955</v>
      </c>
      <c r="M27" s="135"/>
      <c r="N27" s="135"/>
      <c r="O27" s="147"/>
      <c r="P27" s="143"/>
      <c r="Q27" s="143"/>
      <c r="R27" s="147"/>
      <c r="S27" s="12"/>
      <c r="T27" s="12"/>
      <c r="U27" s="12"/>
      <c r="V27" s="12"/>
      <c r="W27" s="12"/>
      <c r="X27" s="12"/>
      <c r="Y27" s="12"/>
      <c r="Z27" s="181"/>
      <c r="AA27" s="177">
        <f>C6</f>
        <v>23</v>
      </c>
      <c r="AB27" s="178">
        <f>C15</f>
        <v>1</v>
      </c>
      <c r="AC27">
        <f>SUM(AA27:AB27)</f>
        <v>24</v>
      </c>
      <c r="AE27" s="90">
        <f t="shared" si="24"/>
        <v>20.852459016393443</v>
      </c>
      <c r="AF27" s="90">
        <f t="shared" si="24"/>
        <v>3.1475409836065573</v>
      </c>
      <c r="AG27" s="90"/>
      <c r="AH27" s="90">
        <f t="shared" si="25"/>
        <v>0.221169708217342</v>
      </c>
      <c r="AI27" s="90">
        <f t="shared" si="25"/>
        <v>1.4652493169398908</v>
      </c>
    </row>
    <row r="28" spans="11:35" ht="12.75">
      <c r="K28" s="141" t="s">
        <v>47</v>
      </c>
      <c r="L28" s="142">
        <f>L7+L16</f>
        <v>34.26295025120206</v>
      </c>
      <c r="M28" s="135"/>
      <c r="N28" s="135"/>
      <c r="O28" s="147"/>
      <c r="P28" s="147"/>
      <c r="Q28" s="147"/>
      <c r="R28" s="147"/>
      <c r="Z28" s="181"/>
      <c r="AA28" s="55">
        <f>SUM(AA25:AA27)</f>
        <v>53</v>
      </c>
      <c r="AB28" s="55">
        <f>SUM(AB25:AB27)</f>
        <v>8</v>
      </c>
      <c r="AC28">
        <f>SUM(AA28:AB28)</f>
        <v>61</v>
      </c>
      <c r="AE28" s="90"/>
      <c r="AF28" s="90"/>
      <c r="AG28" s="90"/>
      <c r="AH28" s="90"/>
      <c r="AI28" s="90">
        <f>SUM(AH25:AI27)</f>
        <v>6.960952274926333</v>
      </c>
    </row>
    <row r="29" spans="11:35" ht="12.75">
      <c r="K29" s="141" t="s">
        <v>48</v>
      </c>
      <c r="L29" s="144">
        <f>L28-L27</f>
        <v>10.167396700391102</v>
      </c>
      <c r="M29" s="135"/>
      <c r="N29" s="135"/>
      <c r="O29" s="135"/>
      <c r="P29" s="135"/>
      <c r="Q29" s="135"/>
      <c r="R29" s="135"/>
      <c r="Z29" s="181"/>
      <c r="AE29" s="90"/>
      <c r="AF29" s="90"/>
      <c r="AG29" s="90"/>
      <c r="AH29" s="90"/>
      <c r="AI29" s="90"/>
    </row>
    <row r="30" spans="11:35" ht="12.75">
      <c r="K30" s="145" t="s">
        <v>53</v>
      </c>
      <c r="L30" s="142">
        <f>CHIDIST(L29,4)</f>
        <v>0.037700362930242905</v>
      </c>
      <c r="M30" s="146" t="b">
        <f>L30&lt;0.05</f>
        <v>1</v>
      </c>
      <c r="N30" s="135"/>
      <c r="O30" s="135"/>
      <c r="P30" s="135"/>
      <c r="Q30" s="135"/>
      <c r="R30" s="135"/>
      <c r="Z30" s="181" t="s">
        <v>145</v>
      </c>
      <c r="AA30" s="174">
        <f>D4</f>
        <v>10</v>
      </c>
      <c r="AB30" s="176">
        <f>D13</f>
        <v>2</v>
      </c>
      <c r="AC30">
        <f>SUM(AA30:AB30)</f>
        <v>12</v>
      </c>
      <c r="AE30" s="90">
        <f aca="true" t="shared" si="26" ref="AE30:AF32">$AC30*AA$33/$AC$33</f>
        <v>6.447761194029851</v>
      </c>
      <c r="AF30" s="90">
        <f t="shared" si="26"/>
        <v>5.552238805970149</v>
      </c>
      <c r="AG30" s="90"/>
      <c r="AH30" s="90">
        <f aca="true" t="shared" si="27" ref="AH30:AI32">(AA30-AE30)^2/AE30</f>
        <v>1.95702045328911</v>
      </c>
      <c r="AI30" s="90">
        <f t="shared" si="27"/>
        <v>2.272668913497031</v>
      </c>
    </row>
    <row r="31" spans="11:35" ht="12.75">
      <c r="K31" s="135"/>
      <c r="L31" s="135"/>
      <c r="M31" s="135"/>
      <c r="N31" s="135"/>
      <c r="O31" s="135"/>
      <c r="P31" s="135"/>
      <c r="Q31" s="135"/>
      <c r="R31" s="135"/>
      <c r="AA31" s="183">
        <f>D5</f>
        <v>6</v>
      </c>
      <c r="AB31" s="184">
        <f>D14</f>
        <v>6</v>
      </c>
      <c r="AC31">
        <f>SUM(AA31:AB31)</f>
        <v>12</v>
      </c>
      <c r="AE31" s="90">
        <f t="shared" si="26"/>
        <v>6.447761194029851</v>
      </c>
      <c r="AF31" s="90">
        <f t="shared" si="26"/>
        <v>5.552238805970149</v>
      </c>
      <c r="AG31" s="90"/>
      <c r="AH31" s="90">
        <f t="shared" si="27"/>
        <v>0.031094527363184073</v>
      </c>
      <c r="AI31" s="90">
        <f t="shared" si="27"/>
        <v>0.03610977371208473</v>
      </c>
    </row>
    <row r="32" spans="2:35" ht="15.75">
      <c r="B32" s="11" t="s">
        <v>67</v>
      </c>
      <c r="AA32" s="177">
        <f>D6</f>
        <v>20</v>
      </c>
      <c r="AB32" s="178">
        <f>D15</f>
        <v>23</v>
      </c>
      <c r="AC32">
        <f>SUM(AA32:AB32)</f>
        <v>43</v>
      </c>
      <c r="AE32" s="90">
        <f t="shared" si="26"/>
        <v>23.104477611940297</v>
      </c>
      <c r="AF32" s="90">
        <f t="shared" si="26"/>
        <v>19.895522388059703</v>
      </c>
      <c r="AG32" s="90"/>
      <c r="AH32" s="90">
        <f t="shared" si="27"/>
        <v>0.41713911064830844</v>
      </c>
      <c r="AI32" s="90">
        <f t="shared" si="27"/>
        <v>0.48441961236577746</v>
      </c>
    </row>
    <row r="33" spans="2:35" ht="12.75">
      <c r="B33" s="3" t="s">
        <v>252</v>
      </c>
      <c r="C33" s="3"/>
      <c r="AA33" s="55">
        <f>SUM(AA30:AA32)</f>
        <v>36</v>
      </c>
      <c r="AB33" s="55">
        <f>SUM(AB30:AB32)</f>
        <v>31</v>
      </c>
      <c r="AC33">
        <f>SUM(AA33:AB33)</f>
        <v>67</v>
      </c>
      <c r="AE33" s="90"/>
      <c r="AF33" s="90"/>
      <c r="AG33" s="90"/>
      <c r="AH33" s="90"/>
      <c r="AI33" s="90">
        <f>SUM(AH30:AI32)</f>
        <v>5.198452390875494</v>
      </c>
    </row>
    <row r="34" spans="31:35" ht="12.75">
      <c r="AE34" s="90"/>
      <c r="AF34" s="90"/>
      <c r="AG34" s="90"/>
      <c r="AH34" s="90"/>
      <c r="AI34" s="90"/>
    </row>
    <row r="35" spans="2:35" ht="12.75">
      <c r="B35" t="s">
        <v>26</v>
      </c>
      <c r="Z35" t="s">
        <v>148</v>
      </c>
      <c r="AE35" s="90"/>
      <c r="AF35" s="90"/>
      <c r="AG35" s="90"/>
      <c r="AH35" s="90"/>
      <c r="AI35" s="90">
        <f>AI23+AI28+AI33</f>
        <v>13.909404665801826</v>
      </c>
    </row>
    <row r="36" spans="31:36" ht="12.75">
      <c r="AE36" s="90"/>
      <c r="AF36" s="90"/>
      <c r="AG36" s="90"/>
      <c r="AH36" s="90"/>
      <c r="AI36" s="90">
        <f>CHIDIST(AI35,6)</f>
        <v>0.030664699327273587</v>
      </c>
      <c r="AJ36" s="3" t="b">
        <f>AI36&lt;0.05</f>
        <v>1</v>
      </c>
    </row>
    <row r="37" ht="12.75">
      <c r="B37" t="s">
        <v>27</v>
      </c>
    </row>
    <row r="38" ht="12.75">
      <c r="B38" t="s">
        <v>25</v>
      </c>
    </row>
    <row r="39" ht="12.75">
      <c r="B39" t="s">
        <v>29</v>
      </c>
    </row>
    <row r="41" ht="12.75">
      <c r="B41" s="3" t="s">
        <v>19</v>
      </c>
    </row>
    <row r="43" ht="12.75">
      <c r="B43" s="3" t="s">
        <v>68</v>
      </c>
    </row>
    <row r="44" ht="12.75">
      <c r="B44" t="s">
        <v>183</v>
      </c>
    </row>
    <row r="45" ht="12.75">
      <c r="B45" t="s">
        <v>182</v>
      </c>
    </row>
    <row r="46" ht="12.75">
      <c r="B46" t="s">
        <v>185</v>
      </c>
    </row>
    <row r="47" ht="12.75">
      <c r="B47" s="197" t="s">
        <v>184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9">
      <selection activeCell="K39" sqref="K39"/>
    </sheetView>
  </sheetViews>
  <sheetFormatPr defaultColWidth="8.8515625" defaultRowHeight="12.75"/>
  <cols>
    <col min="9" max="9" width="8.00390625" style="0" bestFit="1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9.28125" style="0" bestFit="1" customWidth="1"/>
    <col min="19" max="19" width="11.28125" style="0" bestFit="1" customWidth="1"/>
  </cols>
  <sheetData>
    <row r="1" spans="1:27" ht="18">
      <c r="A1" s="4" t="s">
        <v>224</v>
      </c>
      <c r="L1" s="198"/>
      <c r="M1" s="199" t="s">
        <v>69</v>
      </c>
      <c r="N1" s="198"/>
      <c r="P1" s="15"/>
      <c r="Q1" s="22" t="s">
        <v>5</v>
      </c>
      <c r="R1" s="15"/>
      <c r="S1" s="15"/>
      <c r="T1" s="15"/>
      <c r="U1" s="15"/>
      <c r="V1" s="15"/>
      <c r="W1" s="15"/>
      <c r="X1" s="15"/>
      <c r="Y1" s="22"/>
      <c r="Z1" s="15"/>
      <c r="AA1" s="12"/>
    </row>
    <row r="2" spans="8:27" ht="12.75">
      <c r="H2" s="3" t="s">
        <v>128</v>
      </c>
      <c r="L2" s="198"/>
      <c r="M2" s="198"/>
      <c r="N2" s="198"/>
      <c r="P2" s="15"/>
      <c r="Q2" s="185" t="s">
        <v>197</v>
      </c>
      <c r="R2" s="15"/>
      <c r="S2" s="15"/>
      <c r="T2" s="15"/>
      <c r="U2" s="15" t="s">
        <v>84</v>
      </c>
      <c r="V2" s="15"/>
      <c r="W2" s="15"/>
      <c r="X2" s="15"/>
      <c r="Y2" s="15"/>
      <c r="Z2" s="15"/>
      <c r="AA2" s="12"/>
    </row>
    <row r="3" spans="1:29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98"/>
      <c r="M3" s="200" t="str">
        <f>B3</f>
        <v>a</v>
      </c>
      <c r="N3" s="198" t="s">
        <v>55</v>
      </c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s="15" t="s">
        <v>75</v>
      </c>
      <c r="V3" s="15" t="s">
        <v>76</v>
      </c>
      <c r="W3" s="15" t="s">
        <v>159</v>
      </c>
      <c r="X3" s="15" t="s">
        <v>160</v>
      </c>
      <c r="Y3" s="15" t="s">
        <v>176</v>
      </c>
      <c r="Z3" s="15" t="s">
        <v>175</v>
      </c>
      <c r="AB3" s="12"/>
      <c r="AC3" t="s">
        <v>118</v>
      </c>
    </row>
    <row r="4" spans="1:28" ht="12.75">
      <c r="A4" s="3" t="s">
        <v>63</v>
      </c>
      <c r="B4" s="106">
        <v>124</v>
      </c>
      <c r="C4" s="107">
        <f>D4-B4</f>
        <v>501</v>
      </c>
      <c r="D4" s="108">
        <v>625</v>
      </c>
      <c r="E4" s="2"/>
      <c r="F4" s="1">
        <f>$D4*B$6/$D$6</f>
        <v>87.44855967078189</v>
      </c>
      <c r="G4" s="1"/>
      <c r="H4" s="1"/>
      <c r="I4" s="1">
        <f>(B4-F4)^2/F4</f>
        <v>15.277642023723072</v>
      </c>
      <c r="J4" s="1"/>
      <c r="L4" s="201" t="s">
        <v>56</v>
      </c>
      <c r="M4" s="202">
        <f>B4/$B6</f>
        <v>0.7294117647058823</v>
      </c>
      <c r="N4" s="202">
        <f>D4/D6</f>
        <v>0.51440329218107</v>
      </c>
      <c r="P4" s="16" t="s">
        <v>56</v>
      </c>
      <c r="Q4" s="17">
        <f>M4</f>
        <v>0.7294117647058823</v>
      </c>
      <c r="R4" s="15">
        <f>$B$17^2/B6</f>
        <v>0.022596816592318384</v>
      </c>
      <c r="S4" s="17">
        <f>(Q4+R4/2)/(1+R4)</f>
        <v>0.7243423419509261</v>
      </c>
      <c r="T4" s="17">
        <f>$B$17*SQRT((Q4*(1-Q4)+R4/4)/B6)/(1+R4)</f>
        <v>0.0662350721123459</v>
      </c>
      <c r="U4" s="17">
        <f>S4+T4</f>
        <v>0.790577414063272</v>
      </c>
      <c r="V4" s="17">
        <f>S4-T4</f>
        <v>0.6581072698385801</v>
      </c>
      <c r="W4" s="17">
        <f>U4-Q4</f>
        <v>0.06116564935738966</v>
      </c>
      <c r="X4" s="223">
        <f>V4-Q4</f>
        <v>-0.07130449486730217</v>
      </c>
      <c r="Y4" s="18">
        <f>M7+W4</f>
        <v>0.27617412188220203</v>
      </c>
      <c r="Z4" s="17">
        <f>M7+X4</f>
        <v>0.1437039776575102</v>
      </c>
      <c r="AB4" s="12"/>
    </row>
    <row r="5" spans="1:31" ht="12.75">
      <c r="A5" s="3" t="s">
        <v>64</v>
      </c>
      <c r="B5" s="109">
        <v>46</v>
      </c>
      <c r="C5" s="110">
        <f>D5-B5</f>
        <v>544</v>
      </c>
      <c r="D5" s="111">
        <v>590</v>
      </c>
      <c r="E5" s="2"/>
      <c r="F5" s="1">
        <f>$D5*B$6/$D$6</f>
        <v>82.55144032921811</v>
      </c>
      <c r="G5" s="1"/>
      <c r="H5" s="1"/>
      <c r="I5" s="1">
        <f>(B5-F5)^2/F5</f>
        <v>16.18394282174054</v>
      </c>
      <c r="J5" s="1"/>
      <c r="L5" s="201" t="s">
        <v>112</v>
      </c>
      <c r="M5" s="205"/>
      <c r="N5" s="253"/>
      <c r="P5" s="87" t="s">
        <v>55</v>
      </c>
      <c r="Q5" s="14">
        <f>N4</f>
        <v>0.51440329218107</v>
      </c>
      <c r="R5" s="14">
        <f>$B$17^2/D6</f>
        <v>0.00316169450262891</v>
      </c>
      <c r="S5" s="14">
        <f>(Q5+R5/2)/(1+R5)</f>
        <v>0.5143578968973802</v>
      </c>
      <c r="T5" s="14">
        <f>$B$17*SQRT((Q5*(1-Q5)+R5/4)/D6)/(1+R5)</f>
        <v>0.02805852175794086</v>
      </c>
      <c r="U5" s="14">
        <f>S5+T5</f>
        <v>0.5424164186553211</v>
      </c>
      <c r="V5" s="14">
        <f>S5-T5</f>
        <v>0.4862993751394393</v>
      </c>
      <c r="W5" s="14">
        <f>U5-Q5</f>
        <v>0.028013126474251138</v>
      </c>
      <c r="X5" s="79">
        <f>V5-Q5</f>
        <v>-0.02810391704163062</v>
      </c>
      <c r="Y5" s="14"/>
      <c r="Z5" s="12"/>
      <c r="AB5" s="12"/>
      <c r="AC5" t="s">
        <v>126</v>
      </c>
      <c r="AD5" t="s">
        <v>127</v>
      </c>
      <c r="AE5" t="s">
        <v>123</v>
      </c>
    </row>
    <row r="6" spans="2:31" ht="12.75">
      <c r="B6" s="112">
        <f>SUM(B4:B5)</f>
        <v>170</v>
      </c>
      <c r="C6" s="112">
        <f>SUM(C4:C5)</f>
        <v>1045</v>
      </c>
      <c r="D6" s="113">
        <f>SUM(D4:D5)</f>
        <v>1215</v>
      </c>
      <c r="E6" s="2"/>
      <c r="F6" s="1"/>
      <c r="G6" s="1"/>
      <c r="H6" s="63" t="s">
        <v>83</v>
      </c>
      <c r="I6" s="26">
        <f>SUM(I4:I5)</f>
        <v>31.461584845463612</v>
      </c>
      <c r="J6" s="1"/>
      <c r="L6" s="201"/>
      <c r="M6" s="202"/>
      <c r="N6" s="198"/>
      <c r="P6" s="12"/>
      <c r="Q6" s="12"/>
      <c r="R6" s="12"/>
      <c r="S6" s="12"/>
      <c r="T6" s="12"/>
      <c r="U6" s="12"/>
      <c r="V6" s="12"/>
      <c r="W6" s="12"/>
      <c r="X6" s="12"/>
      <c r="Y6" s="14"/>
      <c r="Z6" s="12"/>
      <c r="AB6" s="12" t="s">
        <v>69</v>
      </c>
      <c r="AC6" s="2">
        <f>M7</f>
        <v>0.21500847252481237</v>
      </c>
      <c r="AD6" s="2">
        <f>M15</f>
        <v>0.1207127140306864</v>
      </c>
      <c r="AE6" s="2">
        <f>M19</f>
        <v>-0.09429575849412597</v>
      </c>
    </row>
    <row r="7" spans="2:31" ht="12.75">
      <c r="B7" s="5"/>
      <c r="C7" s="5"/>
      <c r="D7" s="5"/>
      <c r="F7" s="1"/>
      <c r="G7" s="1"/>
      <c r="H7" s="64" t="s">
        <v>53</v>
      </c>
      <c r="I7" s="26">
        <f>CHIDIST(I6,1)</f>
        <v>2.0342527118005587E-08</v>
      </c>
      <c r="J7" s="1"/>
      <c r="K7" t="s">
        <v>113</v>
      </c>
      <c r="L7" s="200" t="s">
        <v>115</v>
      </c>
      <c r="M7" s="204">
        <f>M4-N4</f>
        <v>0.21500847252481237</v>
      </c>
      <c r="N7" s="253"/>
      <c r="P7" s="76"/>
      <c r="Q7" s="14"/>
      <c r="R7" s="76"/>
      <c r="S7" s="77"/>
      <c r="T7" s="12"/>
      <c r="U7" s="14"/>
      <c r="V7" s="12"/>
      <c r="W7" s="12"/>
      <c r="X7" s="12"/>
      <c r="Y7" s="14"/>
      <c r="Z7" s="12"/>
      <c r="AB7" s="12"/>
      <c r="AC7" s="2">
        <f>M8</f>
        <v>0.07512999620280249</v>
      </c>
      <c r="AD7" s="2">
        <f>M16</f>
        <v>0.041568105087036115</v>
      </c>
      <c r="AE7" s="2">
        <f>M20</f>
        <v>0.08586281901941022</v>
      </c>
    </row>
    <row r="8" spans="2:28" ht="12.75">
      <c r="B8" s="5"/>
      <c r="C8" s="10" t="s">
        <v>70</v>
      </c>
      <c r="D8" s="5"/>
      <c r="H8" s="59"/>
      <c r="I8" s="18"/>
      <c r="L8" s="200" t="s">
        <v>58</v>
      </c>
      <c r="M8" s="202">
        <f>$B$17*SQRT(N4*(1-N4)/B6)</f>
        <v>0.07512999620280249</v>
      </c>
      <c r="N8" s="205"/>
      <c r="S8" s="77"/>
      <c r="T8" s="14"/>
      <c r="U8" s="14"/>
      <c r="V8" s="12"/>
      <c r="W8" s="12"/>
      <c r="X8" s="12"/>
      <c r="Y8" s="14"/>
      <c r="Z8" s="12"/>
      <c r="AB8" s="12"/>
    </row>
    <row r="9" spans="2:31" ht="12.75">
      <c r="B9" s="5"/>
      <c r="C9" s="5"/>
      <c r="D9" s="5"/>
      <c r="H9" s="3"/>
      <c r="L9" s="198" t="s">
        <v>77</v>
      </c>
      <c r="M9" s="202"/>
      <c r="N9" s="204" t="b">
        <f>ABS(M7)&gt;M8</f>
        <v>1</v>
      </c>
      <c r="P9" s="12"/>
      <c r="Q9" s="12"/>
      <c r="R9" s="25"/>
      <c r="S9" s="12"/>
      <c r="T9" s="14"/>
      <c r="U9" s="12"/>
      <c r="V9" s="12"/>
      <c r="W9" s="12"/>
      <c r="X9" s="12"/>
      <c r="Y9" s="14"/>
      <c r="Z9" s="12"/>
      <c r="AB9" s="12" t="s">
        <v>198</v>
      </c>
      <c r="AC9" s="2">
        <f>AC6</f>
        <v>0.21500847252481237</v>
      </c>
      <c r="AD9" s="2">
        <f>AD6</f>
        <v>0.1207127140306864</v>
      </c>
      <c r="AE9" s="2">
        <f>AE6</f>
        <v>-0.09429575849412597</v>
      </c>
    </row>
    <row r="10" spans="2:31" ht="12.75">
      <c r="B10" s="5"/>
      <c r="C10" s="5"/>
      <c r="D10" s="5"/>
      <c r="H10" s="3"/>
      <c r="I10" s="3"/>
      <c r="K10" s="60"/>
      <c r="L10" s="60"/>
      <c r="M10" s="61"/>
      <c r="N10" s="62"/>
      <c r="P10" s="235"/>
      <c r="Q10" s="235"/>
      <c r="R10" s="235"/>
      <c r="S10" s="235"/>
      <c r="T10" s="236"/>
      <c r="U10" s="235"/>
      <c r="V10" s="235"/>
      <c r="W10" s="235"/>
      <c r="X10" s="235"/>
      <c r="Y10" s="236"/>
      <c r="Z10" s="235"/>
      <c r="AB10" s="12"/>
      <c r="AC10" s="2">
        <f>W4</f>
        <v>0.06116564935738966</v>
      </c>
      <c r="AD10" s="2">
        <f>W12</f>
        <v>0.038856908163248716</v>
      </c>
      <c r="AE10" s="2">
        <f>-R20</f>
        <v>-0.073511720767539</v>
      </c>
    </row>
    <row r="11" spans="1:31" ht="12.75">
      <c r="A11" s="3" t="s">
        <v>60</v>
      </c>
      <c r="B11" s="3" t="s">
        <v>61</v>
      </c>
      <c r="C11" s="3" t="s">
        <v>62</v>
      </c>
      <c r="D11" s="3" t="s">
        <v>124</v>
      </c>
      <c r="F11" t="s">
        <v>54</v>
      </c>
      <c r="H11" s="28" t="s">
        <v>83</v>
      </c>
      <c r="J11" s="27">
        <f>SUM(C4:C5)</f>
        <v>1045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s="15" t="s">
        <v>75</v>
      </c>
      <c r="V11" s="15" t="s">
        <v>76</v>
      </c>
      <c r="W11" s="15" t="s">
        <v>159</v>
      </c>
      <c r="X11" s="15" t="s">
        <v>160</v>
      </c>
      <c r="Y11" s="15" t="s">
        <v>176</v>
      </c>
      <c r="Z11" s="15" t="s">
        <v>175</v>
      </c>
      <c r="AB11" s="12"/>
      <c r="AC11" s="2">
        <f>-X4</f>
        <v>0.07130449486730217</v>
      </c>
      <c r="AD11" s="2">
        <f>-X12</f>
        <v>0.04077666524979062</v>
      </c>
      <c r="AE11" s="2">
        <f>R19</f>
        <v>-0.0812046199442388</v>
      </c>
    </row>
    <row r="12" spans="1:28" ht="12.75">
      <c r="A12" s="3" t="s">
        <v>63</v>
      </c>
      <c r="B12" s="106">
        <v>355</v>
      </c>
      <c r="C12" s="114">
        <f>D12-B12</f>
        <v>2798</v>
      </c>
      <c r="D12" s="108">
        <v>3153</v>
      </c>
      <c r="E12" s="2"/>
      <c r="F12" s="1">
        <f>$D12*B$14/$D$14</f>
        <v>288.0044437129691</v>
      </c>
      <c r="G12" s="1"/>
      <c r="H12" s="1"/>
      <c r="I12" s="1">
        <f>(B12-F12)^2/F12</f>
        <v>15.584497601300768</v>
      </c>
      <c r="J12" s="1"/>
      <c r="L12" s="201" t="s">
        <v>56</v>
      </c>
      <c r="M12" s="202">
        <f>B12/$B14</f>
        <v>0.6396396396396397</v>
      </c>
      <c r="N12" s="202">
        <f>D12/D14</f>
        <v>0.5189269256089533</v>
      </c>
      <c r="P12" s="16" t="s">
        <v>56</v>
      </c>
      <c r="Q12" s="17">
        <f>M12</f>
        <v>0.6396396396396397</v>
      </c>
      <c r="R12" s="15">
        <f>$B$17^2/B14</f>
        <v>0.0069215474246741</v>
      </c>
      <c r="S12" s="17">
        <f>(Q12+R12/2)/(1+R12)</f>
        <v>0.6386797610963687</v>
      </c>
      <c r="T12" s="17">
        <f>$B$17*SQRT((Q12*(1-Q12)+R12/4)/B14)/(1+R12)</f>
        <v>0.03981678670651972</v>
      </c>
      <c r="U12" s="17">
        <f>S12+T12</f>
        <v>0.6784965478028884</v>
      </c>
      <c r="V12" s="17">
        <f>S12-T12</f>
        <v>0.598862974389849</v>
      </c>
      <c r="W12" s="17">
        <f>U12-Q12</f>
        <v>0.038856908163248716</v>
      </c>
      <c r="X12" s="223">
        <f>V12-Q12</f>
        <v>-0.04077666524979062</v>
      </c>
      <c r="Y12" s="18">
        <f>M15+W12</f>
        <v>0.1595696221939351</v>
      </c>
      <c r="Z12" s="17">
        <f>M15+X12</f>
        <v>0.07993604878089577</v>
      </c>
      <c r="AB12" s="12"/>
    </row>
    <row r="13" spans="1:31" ht="12.75">
      <c r="A13" s="3" t="s">
        <v>64</v>
      </c>
      <c r="B13" s="109">
        <v>200</v>
      </c>
      <c r="C13" s="110">
        <f>D13-B13</f>
        <v>2723</v>
      </c>
      <c r="D13" s="111">
        <v>2923</v>
      </c>
      <c r="E13" s="2"/>
      <c r="F13" s="1">
        <f>$D13*B$14/$D$14</f>
        <v>266.9955562870309</v>
      </c>
      <c r="G13" s="1"/>
      <c r="H13" s="1"/>
      <c r="I13" s="1">
        <f>(B13-F13)^2/F13</f>
        <v>16.810783762196827</v>
      </c>
      <c r="J13" s="1"/>
      <c r="L13" s="201" t="s">
        <v>112</v>
      </c>
      <c r="M13" s="205"/>
      <c r="N13" s="253"/>
      <c r="P13" s="87" t="s">
        <v>55</v>
      </c>
      <c r="Q13" s="14">
        <f>N12</f>
        <v>0.5189269256089533</v>
      </c>
      <c r="R13" s="14">
        <f>$B$17^2/D14</f>
        <v>0.0006322348289490002</v>
      </c>
      <c r="S13" s="14">
        <f>(Q13+R13/2)/(1+R13)</f>
        <v>0.5189149669080856</v>
      </c>
      <c r="T13" s="14">
        <f>$B$17*SQRT((Q13*(1-Q13)+R13/4)/D14)/(1+R13)</f>
        <v>0.012559165646084378</v>
      </c>
      <c r="U13" s="14">
        <f>S13+T13</f>
        <v>0.53147413255417</v>
      </c>
      <c r="V13" s="14">
        <f>S13-T13</f>
        <v>0.5063558012620012</v>
      </c>
      <c r="W13" s="14">
        <f>U13-Q13</f>
        <v>0.012547206945216716</v>
      </c>
      <c r="X13" s="79">
        <f>V13-Q13</f>
        <v>-0.012571124346952067</v>
      </c>
      <c r="Y13" s="14"/>
      <c r="Z13" s="12"/>
      <c r="AB13" s="12" t="s">
        <v>199</v>
      </c>
      <c r="AC13" s="2">
        <f>W27</f>
        <v>0.06381991634403972</v>
      </c>
      <c r="AD13" s="2">
        <f>W30</f>
        <v>0.039729971766607086</v>
      </c>
      <c r="AE13" s="2">
        <f>-R34</f>
        <v>-0.07623173149960932</v>
      </c>
    </row>
    <row r="14" spans="2:31" ht="12.75">
      <c r="B14" s="91">
        <f>SUM(B12:B13)</f>
        <v>555</v>
      </c>
      <c r="C14" s="115">
        <f>SUM(C12:C13)</f>
        <v>5521</v>
      </c>
      <c r="D14" s="92">
        <f>SUM(D12:D13)</f>
        <v>6076</v>
      </c>
      <c r="E14" s="2"/>
      <c r="F14" s="1"/>
      <c r="G14" s="1"/>
      <c r="H14" s="63" t="s">
        <v>83</v>
      </c>
      <c r="I14" s="26">
        <f>SUM(I12:I13)</f>
        <v>32.395281363497595</v>
      </c>
      <c r="J14" s="1"/>
      <c r="L14" s="201"/>
      <c r="M14" s="202"/>
      <c r="N14" s="198"/>
      <c r="X14" s="12"/>
      <c r="Y14" s="14"/>
      <c r="Z14" s="12"/>
      <c r="AB14" s="12"/>
      <c r="AC14" s="2">
        <f>-X27</f>
        <v>0.0743990416839827</v>
      </c>
      <c r="AD14" s="2">
        <f>-X30</f>
        <v>0.04169286707901365</v>
      </c>
      <c r="AE14" s="2">
        <f>R33</f>
        <v>-0.0843426823148896</v>
      </c>
    </row>
    <row r="15" spans="6:27" ht="12.75">
      <c r="F15" s="1"/>
      <c r="G15" s="1"/>
      <c r="H15" s="64" t="s">
        <v>53</v>
      </c>
      <c r="I15" s="26">
        <f>CHIDIST(I14,1)</f>
        <v>1.2579155367692284E-08</v>
      </c>
      <c r="J15" s="1"/>
      <c r="K15" t="s">
        <v>113</v>
      </c>
      <c r="L15" s="200" t="s">
        <v>114</v>
      </c>
      <c r="M15" s="204">
        <f>M12-N12</f>
        <v>0.1207127140306864</v>
      </c>
      <c r="N15" s="205"/>
      <c r="R15" s="12"/>
      <c r="S15" s="12"/>
      <c r="T15" s="12"/>
      <c r="U15" s="14"/>
      <c r="V15" s="12"/>
      <c r="W15" s="12"/>
      <c r="X15" s="12"/>
      <c r="Y15" s="14"/>
      <c r="Z15" s="12"/>
      <c r="AA15" s="12"/>
    </row>
    <row r="16" spans="1:27" ht="12.75">
      <c r="A16" s="3" t="s">
        <v>53</v>
      </c>
      <c r="B16" s="25">
        <v>0.05</v>
      </c>
      <c r="C16" s="10" t="s">
        <v>79</v>
      </c>
      <c r="D16" s="3"/>
      <c r="H16" s="59"/>
      <c r="I16" s="18"/>
      <c r="L16" s="200" t="s">
        <v>58</v>
      </c>
      <c r="M16" s="202">
        <f>$B$17*SQRT(N12*(1-N12)/B14)</f>
        <v>0.041568105087036115</v>
      </c>
      <c r="N16" s="205"/>
      <c r="R16" s="12"/>
      <c r="S16" s="12"/>
      <c r="T16" s="12"/>
      <c r="U16" s="14"/>
      <c r="V16" s="12"/>
      <c r="W16" s="12"/>
      <c r="X16" s="12"/>
      <c r="Y16" s="14"/>
      <c r="Z16" s="12"/>
      <c r="AA16" s="12"/>
    </row>
    <row r="17" spans="1:27" ht="12.75">
      <c r="A17" s="3" t="s">
        <v>78</v>
      </c>
      <c r="B17" s="13">
        <f>NORMSINV(1-(B16/2))</f>
        <v>1.959963984540054</v>
      </c>
      <c r="L17" s="198" t="s">
        <v>77</v>
      </c>
      <c r="M17" s="202"/>
      <c r="N17" s="204" t="b">
        <f>ABS(M15)&gt;M16</f>
        <v>1</v>
      </c>
      <c r="P17" s="12"/>
      <c r="U17" s="12"/>
      <c r="V17" s="12"/>
      <c r="W17" s="12"/>
      <c r="X17" s="12"/>
      <c r="Y17" s="14"/>
      <c r="Z17" s="12"/>
      <c r="AA17" s="12"/>
    </row>
    <row r="18" spans="12:27" ht="12.75">
      <c r="L18" s="12"/>
      <c r="M18" s="12"/>
      <c r="N18" s="12"/>
      <c r="P18" s="12"/>
      <c r="Q18" s="12"/>
      <c r="R18" s="173"/>
      <c r="S18" s="12"/>
      <c r="T18" s="14"/>
      <c r="U18" s="12"/>
      <c r="V18" s="12"/>
      <c r="W18" s="12"/>
      <c r="X18" s="12"/>
      <c r="Y18" s="14"/>
      <c r="Z18" s="12"/>
      <c r="AA18" s="12"/>
    </row>
    <row r="19" spans="10:27" ht="12.75">
      <c r="J19" s="3" t="s">
        <v>117</v>
      </c>
      <c r="K19" s="8"/>
      <c r="L19" s="206" t="s">
        <v>121</v>
      </c>
      <c r="M19" s="207">
        <f>M15-M7</f>
        <v>-0.09429575849412597</v>
      </c>
      <c r="N19" s="208" t="s">
        <v>116</v>
      </c>
      <c r="P19" s="12"/>
      <c r="Q19" s="66" t="s">
        <v>58</v>
      </c>
      <c r="R19" s="19">
        <f>-SQRT(X4^2+W12^2)</f>
        <v>-0.0812046199442388</v>
      </c>
      <c r="S19" s="67"/>
      <c r="T19" s="68" t="s">
        <v>151</v>
      </c>
      <c r="U19" s="7"/>
      <c r="W19" s="12"/>
      <c r="X19" s="54"/>
      <c r="Y19" s="76"/>
      <c r="Z19" s="12"/>
      <c r="AA19" s="12"/>
    </row>
    <row r="20" spans="4:27" ht="12.75">
      <c r="D20" s="31"/>
      <c r="K20" s="9"/>
      <c r="L20" s="209" t="s">
        <v>122</v>
      </c>
      <c r="M20" s="210">
        <f>SQRT(M16^2+M8^2)</f>
        <v>0.08586281901941022</v>
      </c>
      <c r="N20" s="211" t="b">
        <f>ABS(M19)&gt;M20</f>
        <v>1</v>
      </c>
      <c r="P20" s="14"/>
      <c r="Q20" s="172"/>
      <c r="R20" s="69">
        <f>SQRT(W4^2+X12^2)</f>
        <v>0.073511720767539</v>
      </c>
      <c r="S20" s="70"/>
      <c r="T20" s="71" t="s">
        <v>152</v>
      </c>
      <c r="U20" s="7"/>
      <c r="W20" s="12"/>
      <c r="X20" s="12"/>
      <c r="Y20" s="76"/>
      <c r="Z20" s="12"/>
      <c r="AA20" s="12"/>
    </row>
    <row r="21" spans="1:27" ht="12.75">
      <c r="A21" s="94" t="s">
        <v>49</v>
      </c>
      <c r="B21" s="95"/>
      <c r="C21" s="95"/>
      <c r="D21" s="95"/>
      <c r="E21" s="95"/>
      <c r="F21" s="95"/>
      <c r="G21" s="95"/>
      <c r="H21" s="95"/>
      <c r="I21" s="95"/>
      <c r="J21" s="95"/>
      <c r="Q21" s="72"/>
      <c r="R21" s="24" t="str">
        <f>IF(M19&lt;R19,"s (diff 1 &gt; 2)",IF(M19&gt;R20,"s (diff 2 &gt; 1)","ns"))</f>
        <v>s (diff 1 &gt; 2)</v>
      </c>
      <c r="S21" s="73"/>
      <c r="T21" s="74"/>
      <c r="W21" s="12"/>
      <c r="X21" s="78"/>
      <c r="Y21" s="25"/>
      <c r="Z21" s="12"/>
      <c r="AA21" s="12"/>
    </row>
    <row r="22" spans="1:27" ht="12.75">
      <c r="A22" s="96" t="s">
        <v>32</v>
      </c>
      <c r="B22" s="95"/>
      <c r="C22" s="95"/>
      <c r="D22" s="95"/>
      <c r="E22" s="95"/>
      <c r="F22" s="95" t="s">
        <v>54</v>
      </c>
      <c r="G22" s="95"/>
      <c r="H22" s="97" t="s">
        <v>36</v>
      </c>
      <c r="I22" s="95"/>
      <c r="J22" s="95"/>
      <c r="L22" s="212" t="s">
        <v>83</v>
      </c>
      <c r="M22" s="213">
        <f>(M19/(M20/B17))^2</f>
        <v>4.633084408419034</v>
      </c>
      <c r="N22" s="55"/>
      <c r="X22" s="12"/>
      <c r="Y22" s="25"/>
      <c r="Z22" s="12"/>
      <c r="AA22" s="12"/>
    </row>
    <row r="23" spans="1:15" ht="12.75">
      <c r="A23" s="95"/>
      <c r="B23" s="98">
        <f aca="true" t="shared" si="0" ref="B23:D25">B4+B12</f>
        <v>479</v>
      </c>
      <c r="C23" s="99">
        <f t="shared" si="0"/>
        <v>3299</v>
      </c>
      <c r="D23" s="100">
        <f t="shared" si="0"/>
        <v>3778</v>
      </c>
      <c r="E23" s="95"/>
      <c r="F23" s="101">
        <f>$D23*B$25/$D$25</f>
        <v>375.6754903305445</v>
      </c>
      <c r="G23" s="95"/>
      <c r="H23" s="102"/>
      <c r="I23" s="102">
        <f>(B23-F23)^2/F23</f>
        <v>28.418021865200686</v>
      </c>
      <c r="J23" s="95"/>
      <c r="L23" s="214" t="s">
        <v>53</v>
      </c>
      <c r="M23" s="204">
        <f>CHIDIST(M22,1)</f>
        <v>0.031361139505201314</v>
      </c>
      <c r="N23" s="76" t="b">
        <f>M23&lt;0.05</f>
        <v>1</v>
      </c>
      <c r="O23" s="57"/>
    </row>
    <row r="24" spans="1:32" ht="12.75">
      <c r="A24" s="95"/>
      <c r="B24" s="103">
        <f t="shared" si="0"/>
        <v>246</v>
      </c>
      <c r="C24" s="104">
        <f t="shared" si="0"/>
        <v>3267</v>
      </c>
      <c r="D24" s="100">
        <f t="shared" si="0"/>
        <v>3513</v>
      </c>
      <c r="E24" s="95"/>
      <c r="F24" s="101">
        <f>$D24*B$25/$D$25</f>
        <v>349.3245096694555</v>
      </c>
      <c r="G24" s="95"/>
      <c r="H24" s="102"/>
      <c r="I24" s="102">
        <f>(B24-F24)^2/F24</f>
        <v>30.56170982258132</v>
      </c>
      <c r="J24" s="95"/>
      <c r="M24" s="56"/>
      <c r="N24" s="56"/>
      <c r="O24" s="55"/>
      <c r="P24" s="15"/>
      <c r="Q24" s="22" t="s">
        <v>5</v>
      </c>
      <c r="R24" s="15"/>
      <c r="S24" s="15"/>
      <c r="T24" s="15"/>
      <c r="U24" s="15"/>
      <c r="V24" s="15"/>
      <c r="W24" s="15"/>
      <c r="X24" s="15"/>
      <c r="Y24" s="15"/>
      <c r="Z24" s="15"/>
      <c r="AF24" s="2"/>
    </row>
    <row r="25" spans="1:32" ht="12.75">
      <c r="A25" s="95"/>
      <c r="B25" s="100">
        <f t="shared" si="0"/>
        <v>725</v>
      </c>
      <c r="C25" s="100">
        <f>J11+C14</f>
        <v>6566</v>
      </c>
      <c r="D25" s="100">
        <f t="shared" si="0"/>
        <v>7291</v>
      </c>
      <c r="E25" s="95"/>
      <c r="F25" s="95"/>
      <c r="G25" s="95"/>
      <c r="H25" s="219" t="s">
        <v>37</v>
      </c>
      <c r="I25" s="220">
        <f>SUM(I23:I24)</f>
        <v>58.97973168778201</v>
      </c>
      <c r="J25" s="95"/>
      <c r="M25" s="155"/>
      <c r="N25" s="155"/>
      <c r="O25" s="55"/>
      <c r="P25" s="15"/>
      <c r="Q25" s="22" t="s">
        <v>158</v>
      </c>
      <c r="R25" s="15"/>
      <c r="S25" s="15"/>
      <c r="T25" s="15"/>
      <c r="U25" s="15"/>
      <c r="V25" s="15"/>
      <c r="W25" s="15"/>
      <c r="X25" s="15"/>
      <c r="Y25" s="237"/>
      <c r="Z25" s="237"/>
      <c r="AF25" s="2"/>
    </row>
    <row r="26" spans="1:26" ht="12.75">
      <c r="A26" s="95"/>
      <c r="B26" s="95"/>
      <c r="C26" s="95"/>
      <c r="D26" s="95"/>
      <c r="E26" s="95"/>
      <c r="F26" s="95"/>
      <c r="G26" s="95"/>
      <c r="H26" s="219" t="s">
        <v>38</v>
      </c>
      <c r="I26" s="220">
        <f>I6+I14</f>
        <v>63.85686620896121</v>
      </c>
      <c r="J26" s="95"/>
      <c r="O26" s="55"/>
      <c r="P26" s="117"/>
      <c r="Q26" s="117" t="s">
        <v>53</v>
      </c>
      <c r="R26" s="116" t="s">
        <v>153</v>
      </c>
      <c r="S26" s="116" t="s">
        <v>154</v>
      </c>
      <c r="T26" s="116" t="s">
        <v>155</v>
      </c>
      <c r="U26" s="116" t="s">
        <v>156</v>
      </c>
      <c r="V26" s="116" t="s">
        <v>157</v>
      </c>
      <c r="W26" s="15" t="s">
        <v>159</v>
      </c>
      <c r="X26" s="15" t="s">
        <v>160</v>
      </c>
      <c r="Y26" s="15" t="s">
        <v>176</v>
      </c>
      <c r="Z26" s="15" t="s">
        <v>175</v>
      </c>
    </row>
    <row r="27" spans="1:26" ht="12.75">
      <c r="A27" s="95"/>
      <c r="B27" s="95"/>
      <c r="C27" s="95"/>
      <c r="D27" s="95"/>
      <c r="E27" s="95"/>
      <c r="F27" s="95"/>
      <c r="G27" s="95"/>
      <c r="H27" s="219" t="s">
        <v>39</v>
      </c>
      <c r="I27" s="221">
        <f>I26-I25</f>
        <v>4.877134521179201</v>
      </c>
      <c r="J27" s="95"/>
      <c r="O27" s="55"/>
      <c r="P27" s="16" t="s">
        <v>56</v>
      </c>
      <c r="Q27" s="17">
        <f>Q4</f>
        <v>0.7294117647058823</v>
      </c>
      <c r="R27" s="17">
        <f>2*(B6+$B$17*$B$17)</f>
        <v>347.68291764138826</v>
      </c>
      <c r="S27" s="17">
        <f>$B$17*$B$17-1/B6+4*B6*M4*(1-M4)</f>
        <v>138.04734117363532</v>
      </c>
      <c r="T27" s="17">
        <f>2-4*M4</f>
        <v>-0.9176470588235293</v>
      </c>
      <c r="U27" s="169">
        <f>MAX(Q4,MIN(S4+($B$17*SQRT(S27+T27)+1)/R27,1))</f>
        <v>0.793231681049922</v>
      </c>
      <c r="V27" s="169">
        <f>MIN(Q4,MAX(S4-($B$17*SQRT(S27-T27)+1)/R27,0))</f>
        <v>0.6550127230218996</v>
      </c>
      <c r="W27" s="17">
        <f>U27-Q27</f>
        <v>0.06381991634403972</v>
      </c>
      <c r="X27" s="17">
        <f>V27-Q27</f>
        <v>-0.0743990416839827</v>
      </c>
      <c r="Y27" s="18">
        <f>M7+W27</f>
        <v>0.2788283888688521</v>
      </c>
      <c r="Z27" s="17">
        <f>M7+X27</f>
        <v>0.14060943084082966</v>
      </c>
    </row>
    <row r="28" spans="1:27" ht="12.75">
      <c r="A28" s="95"/>
      <c r="B28" s="95"/>
      <c r="C28" s="95"/>
      <c r="D28" s="95"/>
      <c r="E28" s="95"/>
      <c r="F28" s="95"/>
      <c r="G28" s="95"/>
      <c r="H28" s="222" t="s">
        <v>53</v>
      </c>
      <c r="I28" s="221">
        <f>CHIDIST(I27,1)</f>
        <v>0.027214764612062955</v>
      </c>
      <c r="J28" s="105" t="b">
        <f>I28&lt;0.05</f>
        <v>1</v>
      </c>
      <c r="O28" s="5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2"/>
    </row>
    <row r="29" spans="2:26" ht="15.75">
      <c r="B29" s="11" t="s">
        <v>67</v>
      </c>
      <c r="O29" s="55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5" t="s">
        <v>176</v>
      </c>
      <c r="Z29" s="15" t="s">
        <v>175</v>
      </c>
    </row>
    <row r="30" spans="2:26" ht="12.75">
      <c r="B30" s="3" t="s">
        <v>252</v>
      </c>
      <c r="O30" s="55"/>
      <c r="P30" s="16" t="s">
        <v>56</v>
      </c>
      <c r="Q30" s="17">
        <f>Q12</f>
        <v>0.6396396396396397</v>
      </c>
      <c r="R30" s="17">
        <f>2*(B14+$B$17*$B$17)</f>
        <v>1117.6829176413883</v>
      </c>
      <c r="S30" s="17">
        <f>$B$17*$B$17-1/B14+4*B14*M12*(1-M12)</f>
        <v>515.551368730604</v>
      </c>
      <c r="T30" s="17">
        <f>2-4*M12</f>
        <v>-0.5585585585585586</v>
      </c>
      <c r="U30" s="169">
        <f>MAX(Q12,MIN(S12+($B$17*SQRT(S30+T30)+1)/R30,1))</f>
        <v>0.6793696114062467</v>
      </c>
      <c r="V30" s="169">
        <f>MIN(Q12,MAX(S12-($B$17*SQRT(S30-T30)+1)/R30,0))</f>
        <v>0.597946772560626</v>
      </c>
      <c r="W30" s="17">
        <f>U30-Q30</f>
        <v>0.039729971766607086</v>
      </c>
      <c r="X30" s="17">
        <f>V30-Q30</f>
        <v>-0.04169286707901365</v>
      </c>
      <c r="Y30" s="18">
        <f>M15+W30</f>
        <v>0.16044268579729348</v>
      </c>
      <c r="Z30" s="17">
        <f>M15+X30</f>
        <v>0.07901984695167275</v>
      </c>
    </row>
    <row r="31" spans="15:23" ht="12.75">
      <c r="O31" s="55"/>
      <c r="P31" s="14"/>
      <c r="Q31" s="14"/>
      <c r="R31" s="14"/>
      <c r="S31" s="12"/>
      <c r="T31" s="12"/>
      <c r="U31" s="12"/>
      <c r="V31" s="12"/>
      <c r="W31" s="12"/>
    </row>
    <row r="32" spans="2:23" ht="12.75">
      <c r="B32" t="s">
        <v>125</v>
      </c>
      <c r="O32" s="55"/>
      <c r="P32" s="12"/>
      <c r="Q32" s="14"/>
      <c r="R32" s="14"/>
      <c r="S32" s="12"/>
      <c r="T32" s="12"/>
      <c r="U32" s="12"/>
      <c r="V32" s="12"/>
      <c r="W32" s="12"/>
    </row>
    <row r="33" spans="2:20" ht="12.75">
      <c r="B33" t="s">
        <v>120</v>
      </c>
      <c r="O33" s="55"/>
      <c r="Q33" s="66" t="s">
        <v>58</v>
      </c>
      <c r="R33" s="19">
        <f>-SQRT(X27^2+W30^2)</f>
        <v>-0.0843426823148896</v>
      </c>
      <c r="S33" s="67"/>
      <c r="T33" s="68" t="s">
        <v>151</v>
      </c>
    </row>
    <row r="34" spans="15:20" ht="12.75">
      <c r="O34" s="28"/>
      <c r="Q34" s="172"/>
      <c r="R34" s="69">
        <f>SQRT(W27^2+X30^2)</f>
        <v>0.07623173149960932</v>
      </c>
      <c r="S34" s="70"/>
      <c r="T34" s="71" t="s">
        <v>152</v>
      </c>
    </row>
    <row r="35" spans="2:20" ht="12.75">
      <c r="B35" s="3" t="s">
        <v>6</v>
      </c>
      <c r="O35" s="93"/>
      <c r="P35" s="12"/>
      <c r="Q35" s="72"/>
      <c r="R35" s="24" t="str">
        <f>IF(M19&lt;R33,"s (diff 1 &gt; 2)",IF(M36&gt;R34,"s (diff 2 &gt; 1)","ns"))</f>
        <v>s (diff 1 &gt; 2)</v>
      </c>
      <c r="S35" s="73"/>
      <c r="T35" s="74"/>
    </row>
    <row r="36" spans="2:15" ht="12.75">
      <c r="B36" t="s">
        <v>81</v>
      </c>
      <c r="O36" s="55"/>
    </row>
    <row r="37" spans="2:15" ht="12.75">
      <c r="B37" t="s">
        <v>82</v>
      </c>
      <c r="O37" s="55"/>
    </row>
    <row r="38" ht="12.75">
      <c r="B38" s="3" t="s">
        <v>7</v>
      </c>
    </row>
    <row r="39" spans="2:20" ht="12.75">
      <c r="B39" s="3"/>
      <c r="P39" s="12"/>
      <c r="Q39" s="14"/>
      <c r="R39" s="12"/>
      <c r="S39" s="12"/>
      <c r="T39" s="12"/>
    </row>
    <row r="40" spans="2:23" ht="12.75">
      <c r="B40" s="3" t="s">
        <v>33</v>
      </c>
      <c r="P40" s="88"/>
      <c r="Q40" s="57" t="s">
        <v>14</v>
      </c>
      <c r="R40" s="55"/>
      <c r="S40" s="88"/>
      <c r="U40" s="55"/>
      <c r="V40" t="s">
        <v>11</v>
      </c>
      <c r="W40" s="12"/>
    </row>
    <row r="41" spans="2:23" ht="12.75">
      <c r="B41" t="s">
        <v>50</v>
      </c>
      <c r="P41" s="90"/>
      <c r="R41" s="56">
        <f>-$B$17*SQRT(V5*(1-V5)/D6+U13*(1-U13)/D14)</f>
        <v>-0.03077763076016329</v>
      </c>
      <c r="S41" s="90"/>
      <c r="U41" s="55"/>
      <c r="V41" s="14"/>
      <c r="W41" s="12"/>
    </row>
    <row r="42" spans="2:23" ht="12.75">
      <c r="B42" t="s">
        <v>51</v>
      </c>
      <c r="P42" s="90"/>
      <c r="Q42" s="79" t="s">
        <v>58</v>
      </c>
      <c r="R42" s="56">
        <f>$B$17*SQRT(U5*(1-U5)/D6+V13*(1-V13)/D14)</f>
        <v>0.030704534228822286</v>
      </c>
      <c r="S42" s="25" t="str">
        <f>IF($R$43&lt;R41,"s (p^(2) &lt; p^(1))",IF($R$43&gt;R42,"s (p^(2) &gt; p^(1))","ns"))</f>
        <v>ns</v>
      </c>
      <c r="U42" s="55"/>
      <c r="V42" s="75"/>
      <c r="W42" s="12"/>
    </row>
    <row r="43" spans="2:23" ht="12.75">
      <c r="B43" t="s">
        <v>8</v>
      </c>
      <c r="P43" s="88" t="s">
        <v>137</v>
      </c>
      <c r="R43" s="56">
        <f>N12-N4</f>
        <v>0.004523633427883311</v>
      </c>
      <c r="S43" s="90"/>
      <c r="U43" s="90"/>
      <c r="V43" s="14"/>
      <c r="W43" s="12"/>
    </row>
    <row r="44" spans="21:23" ht="12.75">
      <c r="U44" s="55"/>
      <c r="V44" s="14"/>
      <c r="W44" s="12"/>
    </row>
    <row r="45" spans="2:23" ht="12.75">
      <c r="B45" s="3" t="s">
        <v>68</v>
      </c>
      <c r="P45" s="90"/>
      <c r="Q45" s="90"/>
      <c r="R45" s="90"/>
      <c r="S45" s="90"/>
      <c r="T45" s="90"/>
      <c r="U45" s="55"/>
      <c r="V45" s="12"/>
      <c r="W45" s="12"/>
    </row>
    <row r="46" spans="2:23" ht="12.75">
      <c r="B46" t="s">
        <v>183</v>
      </c>
      <c r="P46" s="88"/>
      <c r="Q46" s="57" t="s">
        <v>10</v>
      </c>
      <c r="R46" s="55"/>
      <c r="S46" s="88"/>
      <c r="T46" t="s">
        <v>11</v>
      </c>
      <c r="U46" s="88"/>
      <c r="V46" s="75"/>
      <c r="W46" s="12"/>
    </row>
    <row r="47" spans="2:23" ht="12.75">
      <c r="B47" t="s">
        <v>182</v>
      </c>
      <c r="P47" s="90"/>
      <c r="R47" s="56">
        <f>-$B$17*SQRT(V4*(1-V4)/B6+U12*(1-U12)/B14)</f>
        <v>-0.0812046199442388</v>
      </c>
      <c r="S47" s="90"/>
      <c r="T47" s="90"/>
      <c r="U47" s="90"/>
      <c r="V47" s="14"/>
      <c r="W47" s="12"/>
    </row>
    <row r="48" spans="2:23" ht="12.75">
      <c r="B48" t="s">
        <v>185</v>
      </c>
      <c r="P48" s="90"/>
      <c r="Q48" s="79" t="s">
        <v>58</v>
      </c>
      <c r="R48" s="56">
        <f>$B$17*SQRT(U4*(1-U4)/B6+V12*(1-V12)/B14)</f>
        <v>0.07351172076753903</v>
      </c>
      <c r="S48" s="25" t="str">
        <f>IF($R$49&lt;R47,"s (p1(2) &lt; p1(1))",IF($R$49&gt;R48,"s (p1(2) &gt; p1(1))","ns"))</f>
        <v>s (p1(2) &lt; p1(1))</v>
      </c>
      <c r="T48" s="90"/>
      <c r="U48" s="90"/>
      <c r="V48" s="14"/>
      <c r="W48" s="12"/>
    </row>
    <row r="49" spans="2:23" ht="12.75">
      <c r="B49" s="197" t="s">
        <v>184</v>
      </c>
      <c r="P49" s="88" t="s">
        <v>136</v>
      </c>
      <c r="R49" s="56">
        <f>M12-M4</f>
        <v>-0.08977212506624266</v>
      </c>
      <c r="S49" s="90"/>
      <c r="T49" s="90"/>
      <c r="U49" s="55"/>
      <c r="V49" s="12"/>
      <c r="W49" s="1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2" sqref="E2"/>
    </sheetView>
  </sheetViews>
  <sheetFormatPr defaultColWidth="8.8515625" defaultRowHeight="12.75"/>
  <sheetData>
    <row r="1" spans="1:14" ht="18">
      <c r="A1" s="4" t="s">
        <v>225</v>
      </c>
      <c r="K1" s="15"/>
      <c r="L1" s="22" t="s">
        <v>16</v>
      </c>
      <c r="M1" s="15"/>
      <c r="N1" s="15"/>
    </row>
    <row r="2" spans="8:14" ht="12.75">
      <c r="H2" s="3" t="s">
        <v>128</v>
      </c>
      <c r="K2" s="15"/>
      <c r="L2" s="185" t="s">
        <v>200</v>
      </c>
      <c r="M2" s="15"/>
      <c r="N2" s="15"/>
    </row>
    <row r="3" spans="1:14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K3" s="16" t="s">
        <v>53</v>
      </c>
      <c r="L3" s="16" t="s">
        <v>55</v>
      </c>
      <c r="M3" s="16" t="s">
        <v>28</v>
      </c>
      <c r="N3" s="16" t="s">
        <v>24</v>
      </c>
    </row>
    <row r="4" spans="1:14" ht="12.75">
      <c r="A4" s="3" t="s">
        <v>63</v>
      </c>
      <c r="B4" s="106">
        <v>293</v>
      </c>
      <c r="C4" s="107">
        <f>D4-B4</f>
        <v>113</v>
      </c>
      <c r="D4" s="108">
        <v>406</v>
      </c>
      <c r="E4" s="2"/>
      <c r="F4" s="1">
        <f>$D4*B$7/$D$7</f>
        <v>248.61001164144355</v>
      </c>
      <c r="G4" s="1"/>
      <c r="H4" s="13"/>
      <c r="I4" s="13">
        <f>(B4-F4)^2/F4</f>
        <v>7.92595219099494</v>
      </c>
      <c r="K4" s="17">
        <f>B4/B$7</f>
        <v>0.5570342205323194</v>
      </c>
      <c r="L4" s="17">
        <f>D4/D$7</f>
        <v>0.47264260768335276</v>
      </c>
      <c r="M4" s="17">
        <f>K4-L4</f>
        <v>0.08439161284896668</v>
      </c>
      <c r="N4" s="17">
        <f>L4*(1-L4)/B$7</f>
        <v>0.0004738623062464507</v>
      </c>
    </row>
    <row r="5" spans="1:14" ht="12.75">
      <c r="A5" s="3"/>
      <c r="B5" s="161">
        <v>223</v>
      </c>
      <c r="C5" s="107">
        <f>D5-B5</f>
        <v>200</v>
      </c>
      <c r="D5" s="111">
        <v>423</v>
      </c>
      <c r="E5" s="2"/>
      <c r="F5" s="1">
        <f>$D5*B$7/$D$7</f>
        <v>259.0197904540163</v>
      </c>
      <c r="G5" s="1"/>
      <c r="H5" s="13"/>
      <c r="I5" s="13">
        <f>(B5-F5)^2/F5</f>
        <v>5.008981368091927</v>
      </c>
      <c r="K5" s="17">
        <f>B5/B$7</f>
        <v>0.42395437262357416</v>
      </c>
      <c r="L5" s="17">
        <f>D5/D$7</f>
        <v>0.49243306169965073</v>
      </c>
      <c r="M5" s="17">
        <f>K5-L5</f>
        <v>-0.06847868907607657</v>
      </c>
      <c r="N5" s="17">
        <f>L5*(1-L5)/B$7</f>
        <v>0.0004751763145337618</v>
      </c>
    </row>
    <row r="6" spans="1:14" ht="12.75">
      <c r="A6" s="3" t="s">
        <v>64</v>
      </c>
      <c r="B6" s="109">
        <v>10</v>
      </c>
      <c r="C6" s="110">
        <f>D6-B6</f>
        <v>20</v>
      </c>
      <c r="D6" s="111">
        <v>30</v>
      </c>
      <c r="E6" s="2"/>
      <c r="F6" s="1">
        <f>$D6*B$7/$D$7</f>
        <v>18.370197904540163</v>
      </c>
      <c r="G6" s="1"/>
      <c r="H6" s="13"/>
      <c r="I6" s="13">
        <f>(B6-F6)^2/F6</f>
        <v>3.8137973975693136</v>
      </c>
      <c r="K6" s="17">
        <f>B6/B$7</f>
        <v>0.019011406844106463</v>
      </c>
      <c r="L6" s="17">
        <f>D6/D$7</f>
        <v>0.034924330616996506</v>
      </c>
      <c r="M6" s="17">
        <f>K6-L6</f>
        <v>-0.015912923772890043</v>
      </c>
      <c r="N6" s="17">
        <f>L6*(1-L6)/B$7</f>
        <v>6.407722765770195E-05</v>
      </c>
    </row>
    <row r="7" spans="2:14" ht="12.75">
      <c r="B7" s="112">
        <f>SUM(B4:B6)</f>
        <v>526</v>
      </c>
      <c r="C7" s="160">
        <f>SUM(C4:C6)</f>
        <v>333</v>
      </c>
      <c r="D7" s="113">
        <f>SUM(D4:D6)</f>
        <v>859</v>
      </c>
      <c r="E7" s="2"/>
      <c r="F7" s="1"/>
      <c r="G7" s="1"/>
      <c r="H7" s="63" t="s">
        <v>83</v>
      </c>
      <c r="I7" s="26">
        <f>SUM(I4:I6)</f>
        <v>16.748730956656182</v>
      </c>
      <c r="K7" s="15"/>
      <c r="L7" s="15"/>
      <c r="M7" s="15"/>
      <c r="N7" s="15"/>
    </row>
    <row r="8" spans="2:14" ht="12.75">
      <c r="B8" s="5"/>
      <c r="C8" s="5"/>
      <c r="D8" s="5"/>
      <c r="F8" s="1"/>
      <c r="G8" s="1"/>
      <c r="H8" s="64" t="s">
        <v>53</v>
      </c>
      <c r="I8" s="26">
        <f>CHIDIST(I7,2)</f>
        <v>0.00023070620925829194</v>
      </c>
      <c r="K8" s="15"/>
      <c r="L8" s="15"/>
      <c r="M8" s="15"/>
      <c r="N8" s="15"/>
    </row>
    <row r="9" spans="2:14" ht="12.75">
      <c r="B9" s="5"/>
      <c r="C9" s="10" t="s">
        <v>70</v>
      </c>
      <c r="D9" s="5"/>
      <c r="H9" s="59"/>
      <c r="I9" s="18"/>
      <c r="K9" s="15"/>
      <c r="L9" s="15"/>
      <c r="M9" s="15"/>
      <c r="N9" s="15"/>
    </row>
    <row r="10" spans="2:8" ht="12.75">
      <c r="B10" s="5"/>
      <c r="C10" s="5"/>
      <c r="D10" s="5"/>
      <c r="H10" s="3"/>
    </row>
    <row r="11" spans="2:9" ht="12.75">
      <c r="B11" s="5"/>
      <c r="C11" s="5"/>
      <c r="D11" s="5"/>
      <c r="H11" s="3"/>
      <c r="I11" s="3"/>
    </row>
    <row r="12" spans="1:14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K12" s="16" t="s">
        <v>53</v>
      </c>
      <c r="L12" s="16" t="s">
        <v>55</v>
      </c>
      <c r="M12" s="16" t="s">
        <v>105</v>
      </c>
      <c r="N12" s="16" t="s">
        <v>24</v>
      </c>
    </row>
    <row r="13" spans="1:14" ht="12.75">
      <c r="A13" s="3" t="s">
        <v>63</v>
      </c>
      <c r="B13" s="106">
        <v>20</v>
      </c>
      <c r="C13" s="114">
        <f>D13-B13</f>
        <v>2</v>
      </c>
      <c r="D13" s="108">
        <v>22</v>
      </c>
      <c r="E13" s="2"/>
      <c r="F13" s="1">
        <f>$D13*B$16/$D$16</f>
        <v>9.821428571428571</v>
      </c>
      <c r="G13" s="1"/>
      <c r="H13" s="13"/>
      <c r="I13" s="13">
        <f>(B13-F13)^2/F13</f>
        <v>10.5487012987013</v>
      </c>
      <c r="K13" s="17">
        <f>B13/B$16</f>
        <v>0.8</v>
      </c>
      <c r="L13" s="17">
        <f>D13/D$16</f>
        <v>0.39285714285714285</v>
      </c>
      <c r="M13" s="17">
        <f>K13-L13</f>
        <v>0.4071428571428572</v>
      </c>
      <c r="N13" s="17">
        <f>L13*(1-L13)/B$16</f>
        <v>0.009540816326530614</v>
      </c>
    </row>
    <row r="14" spans="1:14" ht="12.75">
      <c r="A14" s="3"/>
      <c r="B14" s="161">
        <v>3</v>
      </c>
      <c r="C14" s="107">
        <f>D14-B14</f>
        <v>6</v>
      </c>
      <c r="D14" s="111">
        <v>9</v>
      </c>
      <c r="E14" s="2"/>
      <c r="F14" s="1">
        <f>$D14*B$7/$D$7</f>
        <v>5.511059371362049</v>
      </c>
      <c r="G14" s="1"/>
      <c r="H14" s="13"/>
      <c r="I14" s="13">
        <f>(B14-F14)^2/F14</f>
        <v>1.1441392192707944</v>
      </c>
      <c r="K14" s="17">
        <f>B14/B$16</f>
        <v>0.12</v>
      </c>
      <c r="L14" s="17">
        <f>D14/D$16</f>
        <v>0.16071428571428573</v>
      </c>
      <c r="M14" s="17">
        <f>K14-L14</f>
        <v>-0.04071428571428573</v>
      </c>
      <c r="N14" s="17">
        <f>L14*(1-L14)/B$16</f>
        <v>0.005395408163265306</v>
      </c>
    </row>
    <row r="15" spans="1:14" ht="12.75">
      <c r="A15" s="3" t="s">
        <v>64</v>
      </c>
      <c r="B15" s="109">
        <v>2</v>
      </c>
      <c r="C15" s="110">
        <f>D15-B15</f>
        <v>23</v>
      </c>
      <c r="D15" s="111">
        <v>25</v>
      </c>
      <c r="E15" s="2"/>
      <c r="F15" s="1">
        <f>$D15*B$16/$D$16</f>
        <v>11.160714285714286</v>
      </c>
      <c r="G15" s="1"/>
      <c r="H15" s="13"/>
      <c r="I15" s="13">
        <f>(B15-F15)^2/F15</f>
        <v>7.519114285714286</v>
      </c>
      <c r="K15" s="17">
        <f>B15/B$16</f>
        <v>0.08</v>
      </c>
      <c r="L15" s="17">
        <f>D15/D$16</f>
        <v>0.44642857142857145</v>
      </c>
      <c r="M15" s="17">
        <f>K15-L15</f>
        <v>-0.36642857142857144</v>
      </c>
      <c r="N15" s="17">
        <f>L15*(1-L15)/B$16</f>
        <v>0.009885204081632654</v>
      </c>
    </row>
    <row r="16" spans="2:14" ht="12.75">
      <c r="B16" s="91">
        <f>SUM(B13:B15)</f>
        <v>25</v>
      </c>
      <c r="C16" s="115">
        <f>SUM(C13:C15)</f>
        <v>31</v>
      </c>
      <c r="D16" s="92">
        <f>SUM(D13:D15)</f>
        <v>56</v>
      </c>
      <c r="E16" s="2"/>
      <c r="F16" s="1"/>
      <c r="G16" s="1"/>
      <c r="H16" s="63" t="s">
        <v>83</v>
      </c>
      <c r="I16" s="26">
        <f>SUM(I13:I15)</f>
        <v>19.211954803686382</v>
      </c>
      <c r="K16" s="15"/>
      <c r="L16" s="15"/>
      <c r="M16" s="15"/>
      <c r="N16" s="15"/>
    </row>
    <row r="17" spans="6:14" ht="12.75">
      <c r="F17" s="1"/>
      <c r="G17" s="1"/>
      <c r="H17" s="64" t="s">
        <v>53</v>
      </c>
      <c r="I17" s="26">
        <f>CHIDIST(I16,2)</f>
        <v>6.732510216341785E-05</v>
      </c>
      <c r="K17" s="15"/>
      <c r="L17" s="15"/>
      <c r="M17" s="15"/>
      <c r="N17" s="15"/>
    </row>
    <row r="18" spans="1:14" ht="12.75">
      <c r="A18" s="3" t="s">
        <v>53</v>
      </c>
      <c r="B18" s="25">
        <v>0.05</v>
      </c>
      <c r="C18" s="10" t="s">
        <v>79</v>
      </c>
      <c r="D18" s="3"/>
      <c r="H18" s="59"/>
      <c r="I18" s="18"/>
      <c r="K18" s="15" t="s">
        <v>90</v>
      </c>
      <c r="L18" s="15" t="s">
        <v>97</v>
      </c>
      <c r="M18" s="15" t="s">
        <v>23</v>
      </c>
      <c r="N18" s="15" t="s">
        <v>22</v>
      </c>
    </row>
    <row r="19" spans="1:2" ht="12.75">
      <c r="A19" s="3" t="s">
        <v>78</v>
      </c>
      <c r="B19" s="13">
        <f>NORMSINV(1-(B18/2))</f>
        <v>1.959963984540054</v>
      </c>
    </row>
    <row r="21" spans="11:12" ht="12.75">
      <c r="K21" s="63" t="s">
        <v>15</v>
      </c>
      <c r="L21" s="17">
        <f>(M4-M13)^2/(N4+N13)</f>
        <v>10.40156848891004</v>
      </c>
    </row>
    <row r="22" spans="2:12" ht="15.75">
      <c r="B22" s="11" t="s">
        <v>67</v>
      </c>
      <c r="K22" s="15"/>
      <c r="L22" s="17">
        <f>(M5-M14)^2/(N5+N14)</f>
        <v>0.1313092583798786</v>
      </c>
    </row>
    <row r="23" spans="2:12" ht="12.75">
      <c r="B23" s="3" t="s">
        <v>252</v>
      </c>
      <c r="K23" s="15"/>
      <c r="L23" s="17">
        <f>(M6-M15)^2/(N6+N15)</f>
        <v>12.348753184489563</v>
      </c>
    </row>
    <row r="24" spans="11:12" ht="12.75">
      <c r="K24" s="80" t="s">
        <v>83</v>
      </c>
      <c r="L24" s="83">
        <f>SUM(L21:L23)/2</f>
        <v>11.440815465889742</v>
      </c>
    </row>
    <row r="25" spans="2:13" ht="12.75">
      <c r="B25" t="s">
        <v>17</v>
      </c>
      <c r="K25" s="82" t="s">
        <v>53</v>
      </c>
      <c r="L25" s="81">
        <f>CHIDIST(L24,2)</f>
        <v>0.0032783739288784097</v>
      </c>
      <c r="M25" s="3" t="b">
        <f>L25&lt;B18</f>
        <v>1</v>
      </c>
    </row>
    <row r="27" ht="12.75">
      <c r="B27" t="s">
        <v>27</v>
      </c>
    </row>
    <row r="28" ht="12.75">
      <c r="B28" t="s">
        <v>25</v>
      </c>
    </row>
    <row r="29" ht="12.75">
      <c r="B29" t="s">
        <v>2</v>
      </c>
    </row>
    <row r="30" ht="12.75">
      <c r="B30" t="s">
        <v>29</v>
      </c>
    </row>
    <row r="32" ht="12.75">
      <c r="B32" s="3" t="s">
        <v>19</v>
      </c>
    </row>
    <row r="34" ht="12.75">
      <c r="B34" s="3" t="s">
        <v>68</v>
      </c>
    </row>
    <row r="35" ht="12.75">
      <c r="B35" t="s">
        <v>183</v>
      </c>
    </row>
    <row r="36" ht="12.75">
      <c r="B36" t="s">
        <v>182</v>
      </c>
    </row>
    <row r="37" ht="12.75">
      <c r="B37" t="s">
        <v>185</v>
      </c>
    </row>
    <row r="38" ht="12.75">
      <c r="B38" s="197" t="s">
        <v>184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G1">
      <selection activeCell="Y38" sqref="Y38"/>
    </sheetView>
  </sheetViews>
  <sheetFormatPr defaultColWidth="8.8515625" defaultRowHeight="12.75"/>
  <cols>
    <col min="1" max="1" width="11.7109375" style="0" customWidth="1"/>
    <col min="11" max="11" width="9.7109375" style="0" customWidth="1"/>
    <col min="12" max="12" width="7.421875" style="0" customWidth="1"/>
    <col min="17" max="17" width="9.28125" style="0" customWidth="1"/>
    <col min="18" max="18" width="11.28125" style="0" customWidth="1"/>
  </cols>
  <sheetData>
    <row r="1" spans="1:27" ht="18">
      <c r="A1" s="4" t="s">
        <v>237</v>
      </c>
      <c r="K1" s="256" t="s">
        <v>69</v>
      </c>
      <c r="L1" s="15"/>
      <c r="M1" s="15"/>
      <c r="N1" s="55"/>
      <c r="O1" s="15"/>
      <c r="P1" s="15"/>
      <c r="Q1" s="22"/>
      <c r="R1" s="15"/>
      <c r="S1" s="116"/>
      <c r="T1" s="116"/>
      <c r="U1" s="116"/>
      <c r="V1" s="116"/>
      <c r="W1" s="116"/>
      <c r="X1" s="116"/>
      <c r="Y1" s="15"/>
      <c r="Z1" s="240"/>
      <c r="AA1" s="12"/>
    </row>
    <row r="2" spans="11:27" ht="12.75">
      <c r="K2" s="22" t="s">
        <v>227</v>
      </c>
      <c r="L2" s="15"/>
      <c r="M2" s="15"/>
      <c r="N2" s="55"/>
      <c r="O2" s="15"/>
      <c r="P2" s="15" t="s">
        <v>229</v>
      </c>
      <c r="Q2" s="116"/>
      <c r="R2" s="15"/>
      <c r="S2" s="116"/>
      <c r="T2" s="116"/>
      <c r="U2" s="15"/>
      <c r="V2" s="15"/>
      <c r="W2" s="15"/>
      <c r="X2" s="116"/>
      <c r="Y2" s="15"/>
      <c r="Z2" s="240"/>
      <c r="AA2" s="12"/>
    </row>
    <row r="3" spans="1:27" ht="12.75">
      <c r="A3" s="3" t="s">
        <v>206</v>
      </c>
      <c r="B3" s="3" t="s">
        <v>216</v>
      </c>
      <c r="C3" s="3" t="s">
        <v>217</v>
      </c>
      <c r="K3" s="63" t="s">
        <v>205</v>
      </c>
      <c r="L3" s="15" t="str">
        <f>B11</f>
        <v>I/we</v>
      </c>
      <c r="M3" s="15" t="str">
        <f>C11</f>
        <v>other</v>
      </c>
      <c r="N3" s="55"/>
      <c r="O3" s="15"/>
      <c r="P3" s="22"/>
      <c r="Q3" s="15"/>
      <c r="R3" s="15"/>
      <c r="S3" s="116"/>
      <c r="T3" s="116"/>
      <c r="U3" s="15"/>
      <c r="V3" s="15"/>
      <c r="W3" s="15"/>
      <c r="X3" s="116"/>
      <c r="Y3" s="15"/>
      <c r="Z3">
        <v>0.1</v>
      </c>
      <c r="AA3" s="12"/>
    </row>
    <row r="4" spans="1:30" ht="12.75">
      <c r="A4" s="3" t="s">
        <v>218</v>
      </c>
      <c r="B4" s="106">
        <v>20</v>
      </c>
      <c r="C4" s="156">
        <v>13</v>
      </c>
      <c r="D4" s="241">
        <f>SUM(B4:C4)</f>
        <v>33</v>
      </c>
      <c r="E4" s="10" t="s">
        <v>167</v>
      </c>
      <c r="F4" s="1"/>
      <c r="G4" s="1"/>
      <c r="H4" s="1"/>
      <c r="I4" s="1"/>
      <c r="K4" s="257" t="str">
        <f>A12</f>
        <v>who</v>
      </c>
      <c r="L4" s="257">
        <f>(B12-F12)^2/F12</f>
        <v>0.1</v>
      </c>
      <c r="M4" s="257">
        <f>(C12-G12)^2/G12</f>
        <v>5.296296296296296</v>
      </c>
      <c r="N4" s="55"/>
      <c r="O4" s="15"/>
      <c r="P4" s="16" t="s">
        <v>234</v>
      </c>
      <c r="Q4" s="17">
        <f>B4/B6</f>
        <v>0.8333333333333334</v>
      </c>
      <c r="R4" s="15"/>
      <c r="S4" s="117"/>
      <c r="T4" s="117"/>
      <c r="U4" s="15"/>
      <c r="V4" s="15"/>
      <c r="W4" s="15"/>
      <c r="X4" s="117"/>
      <c r="Y4" s="15"/>
      <c r="Z4">
        <f>1-Z3</f>
        <v>0.9</v>
      </c>
      <c r="AA4" s="12"/>
      <c r="AC4" s="2"/>
      <c r="AD4" s="2"/>
    </row>
    <row r="5" spans="1:27" ht="12.75">
      <c r="A5" s="3" t="s">
        <v>219</v>
      </c>
      <c r="B5" s="109">
        <v>4</v>
      </c>
      <c r="C5" s="158">
        <v>14</v>
      </c>
      <c r="D5" s="242">
        <f>SUM(B5:C5)</f>
        <v>18</v>
      </c>
      <c r="E5" s="2"/>
      <c r="F5" s="1"/>
      <c r="G5" s="1"/>
      <c r="H5" s="1"/>
      <c r="I5" s="1"/>
      <c r="K5" s="257" t="str">
        <f>A13</f>
        <v>whom</v>
      </c>
      <c r="L5" s="257">
        <f>(B13-F13)^2/F13</f>
        <v>0.5</v>
      </c>
      <c r="M5" s="257">
        <f>(C13-G13)^2/G13</f>
        <v>4.917989417989419</v>
      </c>
      <c r="N5" s="243"/>
      <c r="O5" s="15"/>
      <c r="P5" s="16" t="s">
        <v>235</v>
      </c>
      <c r="Q5" s="17">
        <f>C4/C6</f>
        <v>0.48148148148148145</v>
      </c>
      <c r="R5" s="15"/>
      <c r="S5" s="117"/>
      <c r="T5" s="117"/>
      <c r="U5" s="15"/>
      <c r="V5" s="15"/>
      <c r="W5" s="15"/>
      <c r="X5" s="117"/>
      <c r="Y5" s="15"/>
      <c r="Z5">
        <f>Z4+1</f>
        <v>1.9</v>
      </c>
      <c r="AA5" s="12"/>
    </row>
    <row r="6" spans="2:27" ht="12.75">
      <c r="B6" s="244">
        <f>SUM(B4:B5)</f>
        <v>24</v>
      </c>
      <c r="C6" s="245">
        <f>SUM(C4:C5)</f>
        <v>27</v>
      </c>
      <c r="D6" s="246">
        <f>SUM(D4:D5)</f>
        <v>51</v>
      </c>
      <c r="E6" s="2"/>
      <c r="F6" s="1"/>
      <c r="G6" s="1"/>
      <c r="H6" s="1"/>
      <c r="I6" s="1"/>
      <c r="K6" s="63" t="s">
        <v>205</v>
      </c>
      <c r="L6" s="26">
        <f>SUM(L4:L5)</f>
        <v>0.6</v>
      </c>
      <c r="M6" s="26">
        <f>SUM(M4:M5)</f>
        <v>10.214285714285715</v>
      </c>
      <c r="N6" s="55"/>
      <c r="O6" s="15"/>
      <c r="P6" s="16" t="s">
        <v>123</v>
      </c>
      <c r="Q6" s="17">
        <f>Q5-Q4</f>
        <v>-0.3518518518518519</v>
      </c>
      <c r="R6" s="15"/>
      <c r="S6" s="117"/>
      <c r="T6" s="117"/>
      <c r="U6" s="15"/>
      <c r="V6" s="15"/>
      <c r="W6" s="15"/>
      <c r="X6" s="117"/>
      <c r="Y6" s="15"/>
      <c r="AA6" s="12"/>
    </row>
    <row r="7" spans="2:27" ht="12.75">
      <c r="B7" s="247"/>
      <c r="C7" s="247"/>
      <c r="D7" s="247"/>
      <c r="F7" s="1"/>
      <c r="G7" s="1"/>
      <c r="H7" s="1"/>
      <c r="I7" s="1"/>
      <c r="K7" s="64" t="s">
        <v>53</v>
      </c>
      <c r="L7" s="258">
        <f>CHIDIST(L6,1)</f>
        <v>0.43857803267089934</v>
      </c>
      <c r="M7" s="258">
        <f>CHIDIST(M6,1)</f>
        <v>0.0013935696215074838</v>
      </c>
      <c r="N7" s="55"/>
      <c r="O7" s="15"/>
      <c r="P7" s="15"/>
      <c r="Q7" s="22"/>
      <c r="R7" s="18"/>
      <c r="S7" s="70"/>
      <c r="T7" s="116"/>
      <c r="U7" s="117"/>
      <c r="V7" s="116"/>
      <c r="W7" s="116"/>
      <c r="X7" s="116"/>
      <c r="Y7" s="15"/>
      <c r="AA7" s="12"/>
    </row>
    <row r="8" spans="2:27" ht="12.75">
      <c r="B8" s="247"/>
      <c r="D8" s="247"/>
      <c r="K8" s="15"/>
      <c r="L8" s="15" t="b">
        <f>L7&lt;0.05</f>
        <v>0</v>
      </c>
      <c r="M8" s="15" t="b">
        <f>M7&lt;0.05</f>
        <v>1</v>
      </c>
      <c r="N8" s="55"/>
      <c r="O8" s="15"/>
      <c r="P8" s="17"/>
      <c r="Q8" s="17"/>
      <c r="R8" s="18"/>
      <c r="S8" s="70"/>
      <c r="T8" s="117"/>
      <c r="U8" s="117"/>
      <c r="V8" s="116"/>
      <c r="W8" s="116"/>
      <c r="X8" s="116"/>
      <c r="Y8" s="15"/>
      <c r="AA8" s="12"/>
    </row>
    <row r="9" spans="2:14" ht="12.75">
      <c r="B9" s="247"/>
      <c r="C9" s="247"/>
      <c r="D9" s="247"/>
      <c r="N9" s="55"/>
    </row>
    <row r="10" spans="2:32" ht="12.75">
      <c r="B10" s="247"/>
      <c r="C10" s="247"/>
      <c r="D10" s="247"/>
      <c r="K10" s="22" t="s">
        <v>226</v>
      </c>
      <c r="L10" s="15"/>
      <c r="M10" s="15"/>
      <c r="N10" s="248"/>
      <c r="O10" s="15"/>
      <c r="P10" s="22" t="s">
        <v>227</v>
      </c>
      <c r="Q10" s="22"/>
      <c r="R10" s="15" t="s">
        <v>228</v>
      </c>
      <c r="S10" s="15"/>
      <c r="T10" s="17"/>
      <c r="U10" s="15"/>
      <c r="V10" s="15"/>
      <c r="W10" s="15"/>
      <c r="X10" s="15"/>
      <c r="Y10" s="15"/>
      <c r="AB10" s="22" t="s">
        <v>230</v>
      </c>
      <c r="AC10" s="15"/>
      <c r="AD10" s="15"/>
      <c r="AE10" s="15"/>
      <c r="AF10" s="15"/>
    </row>
    <row r="11" spans="1:32" ht="12.75">
      <c r="A11" s="3" t="s">
        <v>207</v>
      </c>
      <c r="B11" s="3" t="str">
        <f>B3</f>
        <v>I/we</v>
      </c>
      <c r="C11" s="3" t="str">
        <f>C3</f>
        <v>other</v>
      </c>
      <c r="D11" s="247"/>
      <c r="F11" t="s">
        <v>54</v>
      </c>
      <c r="K11" s="185" t="s">
        <v>233</v>
      </c>
      <c r="L11" s="15"/>
      <c r="M11" s="15"/>
      <c r="N11" s="55"/>
      <c r="O11" s="15"/>
      <c r="P11" s="185" t="s">
        <v>231</v>
      </c>
      <c r="Q11" s="254"/>
      <c r="R11" s="15"/>
      <c r="S11" s="254"/>
      <c r="T11" s="255"/>
      <c r="U11" s="254"/>
      <c r="V11" s="254"/>
      <c r="W11" s="254"/>
      <c r="X11" s="254"/>
      <c r="Y11" s="15"/>
      <c r="Z11" s="193"/>
      <c r="AB11" s="185" t="s">
        <v>232</v>
      </c>
      <c r="AC11" s="22"/>
      <c r="AD11" s="15"/>
      <c r="AE11" s="15"/>
      <c r="AF11" s="15"/>
    </row>
    <row r="12" spans="1:32" ht="12.75">
      <c r="A12" s="3" t="str">
        <f>A4</f>
        <v>who</v>
      </c>
      <c r="B12" s="106">
        <v>2</v>
      </c>
      <c r="C12" s="156">
        <v>0</v>
      </c>
      <c r="D12" s="241">
        <f>SUM(B12:C12)</f>
        <v>2</v>
      </c>
      <c r="E12" s="2"/>
      <c r="F12" s="1">
        <f>B4/B$6*B$14</f>
        <v>2.5</v>
      </c>
      <c r="G12" s="1">
        <f>C4/C$6*C$14</f>
        <v>5.296296296296296</v>
      </c>
      <c r="H12" s="1"/>
      <c r="I12" s="1"/>
      <c r="K12" s="63" t="s">
        <v>205</v>
      </c>
      <c r="L12" s="15"/>
      <c r="M12" s="26">
        <f>SUM(L6:M6)</f>
        <v>10.814285714285715</v>
      </c>
      <c r="N12" s="55"/>
      <c r="O12" s="15"/>
      <c r="P12" s="15"/>
      <c r="Q12" s="15"/>
      <c r="R12" s="15" t="s">
        <v>72</v>
      </c>
      <c r="S12" s="15" t="s">
        <v>73</v>
      </c>
      <c r="T12" s="15" t="s">
        <v>74</v>
      </c>
      <c r="U12" s="15" t="s">
        <v>75</v>
      </c>
      <c r="V12" s="15" t="s">
        <v>76</v>
      </c>
      <c r="W12" s="15" t="s">
        <v>159</v>
      </c>
      <c r="X12" s="15" t="s">
        <v>160</v>
      </c>
      <c r="Y12" s="15"/>
      <c r="AA12" s="270" t="s">
        <v>195</v>
      </c>
      <c r="AB12" s="15" t="s">
        <v>105</v>
      </c>
      <c r="AC12" s="15" t="s">
        <v>151</v>
      </c>
      <c r="AD12" s="15" t="s">
        <v>152</v>
      </c>
      <c r="AE12" s="15" t="s">
        <v>236</v>
      </c>
      <c r="AF12" s="15"/>
    </row>
    <row r="13" spans="1:32" ht="12.75">
      <c r="A13" s="3" t="str">
        <f>A5</f>
        <v>whom</v>
      </c>
      <c r="B13" s="109">
        <v>1</v>
      </c>
      <c r="C13" s="158">
        <v>11</v>
      </c>
      <c r="D13" s="242">
        <f>SUM(B13:C13)</f>
        <v>12</v>
      </c>
      <c r="E13" s="2"/>
      <c r="F13" s="1">
        <f>B5/B$6*B$14</f>
        <v>0.5</v>
      </c>
      <c r="G13" s="1">
        <f>C5/C$6*C$14</f>
        <v>5.703703703703703</v>
      </c>
      <c r="H13" s="1"/>
      <c r="I13" s="1"/>
      <c r="K13" s="64" t="s">
        <v>53</v>
      </c>
      <c r="L13" s="15"/>
      <c r="M13" s="258">
        <f>CHIDIST(M12,2)</f>
        <v>0.004484434595412562</v>
      </c>
      <c r="N13" s="55"/>
      <c r="O13" s="15" t="str">
        <f>L3</f>
        <v>I/we</v>
      </c>
      <c r="P13" s="16" t="s">
        <v>56</v>
      </c>
      <c r="Q13" s="17">
        <f>B12/B14</f>
        <v>0.6666666666666666</v>
      </c>
      <c r="R13" s="15">
        <f>$B$17^2/B14</f>
        <v>1.280482481403858</v>
      </c>
      <c r="S13" s="17">
        <f>(Q13+R13/2)/(1+R13)</f>
        <v>0.5730839495702098</v>
      </c>
      <c r="T13" s="17">
        <f>$B$17*SQRT((Q13*(1-Q13)+R13/4)/B14)/(1+R13)</f>
        <v>0.365423974402015</v>
      </c>
      <c r="U13" s="17">
        <f>S13+T13</f>
        <v>0.9385079239722248</v>
      </c>
      <c r="V13" s="17">
        <f>S13-T13</f>
        <v>0.2076599751681948</v>
      </c>
      <c r="W13" s="17">
        <f>U13-Q13</f>
        <v>0.2718412573055582</v>
      </c>
      <c r="X13" s="17">
        <f>V13-Q13</f>
        <v>-0.45900669149847184</v>
      </c>
      <c r="Y13" s="18" t="str">
        <f>IF(Q4&lt;V13,"s-",IF(Q4&gt;U13,"s+","ns"))</f>
        <v>ns</v>
      </c>
      <c r="Z13">
        <f>1+Z3</f>
        <v>1.1</v>
      </c>
      <c r="AA13" s="2">
        <f>-X13</f>
        <v>0.45900669149847184</v>
      </c>
      <c r="AB13" s="17">
        <f>Q14-Q13</f>
        <v>-0.6666666666666666</v>
      </c>
      <c r="AC13" s="18">
        <f>-SQRT(W14^2+X13^2)</f>
        <v>-0.5269547926801156</v>
      </c>
      <c r="AD13" s="18">
        <f>SQRT(X14^2+W13^2)</f>
        <v>0.2718412573055582</v>
      </c>
      <c r="AE13" s="17">
        <f>AB13-Q6</f>
        <v>-0.3148148148148147</v>
      </c>
      <c r="AF13" s="15" t="str">
        <f>IF(AE13&lt;AC13,"s-",IF(AE13&gt;AD13,"s+","ns"))</f>
        <v>ns</v>
      </c>
    </row>
    <row r="14" spans="2:32" ht="12.75">
      <c r="B14" s="91">
        <f>SUM(B12:B13)</f>
        <v>3</v>
      </c>
      <c r="C14" s="115">
        <f>SUM(C12:C13)</f>
        <v>11</v>
      </c>
      <c r="D14" s="92">
        <f>SUM(D12:D13)</f>
        <v>14</v>
      </c>
      <c r="E14" s="2"/>
      <c r="F14" s="1"/>
      <c r="G14" s="1"/>
      <c r="H14" s="1"/>
      <c r="I14" s="1"/>
      <c r="K14" s="15"/>
      <c r="L14" s="15"/>
      <c r="M14" s="15" t="b">
        <f>M13&lt;0.05</f>
        <v>1</v>
      </c>
      <c r="N14" s="55"/>
      <c r="O14" s="17" t="str">
        <f>M3</f>
        <v>other</v>
      </c>
      <c r="P14" s="16" t="s">
        <v>57</v>
      </c>
      <c r="Q14" s="17">
        <f>C12/C14</f>
        <v>0</v>
      </c>
      <c r="R14" s="15">
        <f>$B$17^2/C14</f>
        <v>0.3492224949283249</v>
      </c>
      <c r="S14" s="17">
        <f>(Q14+R14/2)/(1+R14)</f>
        <v>0.12941619941893895</v>
      </c>
      <c r="T14" s="17">
        <f>$B$17*SQRT((Q14*(1-Q14)+R14/4)/C14)/(1+R14)</f>
        <v>0.12941619941893898</v>
      </c>
      <c r="U14" s="17">
        <f>S14+T14</f>
        <v>0.2588323988378779</v>
      </c>
      <c r="V14" s="17">
        <f>S14-T14</f>
        <v>0</v>
      </c>
      <c r="W14" s="17">
        <f>U14-Q14</f>
        <v>0.2588323988378779</v>
      </c>
      <c r="X14" s="17">
        <f>V14-Q14</f>
        <v>0</v>
      </c>
      <c r="Y14" s="18" t="str">
        <f>IF(Q5&lt;V14,"s-",IF(Q5&gt;U14,"s+","ns"))</f>
        <v>s+</v>
      </c>
      <c r="Z14">
        <f>Z13+1</f>
        <v>2.1</v>
      </c>
      <c r="AA14" s="2">
        <f>-X14</f>
        <v>0</v>
      </c>
      <c r="AB14" s="15"/>
      <c r="AC14" s="15"/>
      <c r="AD14" s="15"/>
      <c r="AE14" s="15"/>
      <c r="AF14" s="15"/>
    </row>
    <row r="15" spans="6:32" ht="12.75">
      <c r="F15" s="1"/>
      <c r="G15" s="1"/>
      <c r="H15" s="1"/>
      <c r="I15" s="1"/>
      <c r="K15" s="15"/>
      <c r="L15" s="15"/>
      <c r="M15" s="15"/>
      <c r="N15" s="5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5"/>
      <c r="AB15" s="15"/>
      <c r="AC15" s="15"/>
      <c r="AD15" s="15"/>
      <c r="AE15" s="15"/>
      <c r="AF15" s="15"/>
    </row>
    <row r="16" spans="1:28" ht="12.75">
      <c r="A16" s="3" t="s">
        <v>53</v>
      </c>
      <c r="B16" s="25">
        <v>0.05</v>
      </c>
      <c r="C16" s="10" t="s">
        <v>220</v>
      </c>
      <c r="D16" s="3"/>
      <c r="N16" s="55"/>
      <c r="Z16" s="240"/>
      <c r="AB16" s="12"/>
    </row>
    <row r="17" spans="1:28" ht="12.75">
      <c r="A17" s="3" t="s">
        <v>78</v>
      </c>
      <c r="B17" s="13">
        <f>NORMSINV(1-(B16/2))</f>
        <v>1.9599610823206604</v>
      </c>
      <c r="N17" s="55"/>
      <c r="Z17" s="240"/>
      <c r="AB17" s="12"/>
    </row>
    <row r="18" spans="5:32" ht="12.75">
      <c r="E18" s="2"/>
      <c r="K18" s="22" t="s">
        <v>164</v>
      </c>
      <c r="L18" s="15"/>
      <c r="M18" s="15"/>
      <c r="N18" s="5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40"/>
      <c r="AB18" s="22" t="s">
        <v>230</v>
      </c>
      <c r="AC18" s="15"/>
      <c r="AD18" s="15"/>
      <c r="AE18" s="15"/>
      <c r="AF18" s="15"/>
    </row>
    <row r="19" spans="11:32" ht="12.75">
      <c r="K19" s="63" t="s">
        <v>205</v>
      </c>
      <c r="L19" s="15" t="str">
        <f>B3</f>
        <v>I/we</v>
      </c>
      <c r="M19" s="15" t="str">
        <f>C3</f>
        <v>other</v>
      </c>
      <c r="N19" s="57"/>
      <c r="O19" s="15"/>
      <c r="P19" s="238" t="s">
        <v>158</v>
      </c>
      <c r="Q19" s="15"/>
      <c r="R19" s="15"/>
      <c r="S19" s="15"/>
      <c r="T19" s="15"/>
      <c r="U19" s="15"/>
      <c r="V19" s="15"/>
      <c r="W19" s="15"/>
      <c r="X19" s="15"/>
      <c r="Y19" s="15"/>
      <c r="Z19" s="240"/>
      <c r="AB19" s="185"/>
      <c r="AC19" s="22"/>
      <c r="AD19" s="15"/>
      <c r="AE19" s="15"/>
      <c r="AF19" s="15"/>
    </row>
    <row r="20" spans="11:32" ht="12.75">
      <c r="K20" s="257" t="str">
        <f>A4</f>
        <v>who</v>
      </c>
      <c r="L20" s="257">
        <f>(ABS(B12-F12)-0.5)^2/F12</f>
        <v>0</v>
      </c>
      <c r="M20" s="257">
        <f>(ABS(C12-G12)-0.5)^2/G12</f>
        <v>4.3434990934990925</v>
      </c>
      <c r="N20" s="57"/>
      <c r="O20" s="15"/>
      <c r="P20" s="117"/>
      <c r="Q20" s="117"/>
      <c r="R20" s="116" t="s">
        <v>153</v>
      </c>
      <c r="S20" s="116" t="s">
        <v>154</v>
      </c>
      <c r="T20" s="116" t="s">
        <v>155</v>
      </c>
      <c r="U20" s="116" t="s">
        <v>156</v>
      </c>
      <c r="V20" s="116" t="s">
        <v>157</v>
      </c>
      <c r="W20" s="15" t="s">
        <v>159</v>
      </c>
      <c r="X20" s="15" t="s">
        <v>160</v>
      </c>
      <c r="Y20" s="15"/>
      <c r="Z20" s="240"/>
      <c r="AB20" s="15" t="s">
        <v>105</v>
      </c>
      <c r="AC20" s="15" t="s">
        <v>151</v>
      </c>
      <c r="AD20" s="15" t="s">
        <v>152</v>
      </c>
      <c r="AE20" s="15" t="s">
        <v>236</v>
      </c>
      <c r="AF20" s="15"/>
    </row>
    <row r="21" spans="1:32" ht="12.75">
      <c r="A21" s="250"/>
      <c r="K21" s="257" t="str">
        <f>A5</f>
        <v>whom</v>
      </c>
      <c r="L21" s="257">
        <f>(ABS(B13-F13)-0.5)^2/F13</f>
        <v>0</v>
      </c>
      <c r="M21" s="257">
        <f>(ABS(C13-G13)-0.5)^2/G13</f>
        <v>4.033249158249159</v>
      </c>
      <c r="O21" s="15" t="str">
        <f>O13</f>
        <v>I/we</v>
      </c>
      <c r="P21" s="16" t="s">
        <v>56</v>
      </c>
      <c r="Q21" s="17">
        <f>Q13</f>
        <v>0.6666666666666666</v>
      </c>
      <c r="R21" s="17">
        <f>2*(B14+$B$17*$B$17)</f>
        <v>13.68289488842315</v>
      </c>
      <c r="S21" s="17">
        <f>$B$17*$B$17-1/B14+4*B14*Q21*(1-Q21)</f>
        <v>6.174780777544908</v>
      </c>
      <c r="T21" s="17">
        <f>2-4*Q21</f>
        <v>-0.6666666666666665</v>
      </c>
      <c r="U21" s="169">
        <f>MAX(Q21,MIN(S13+($B$17*SQRT(S21+T21)+1)/R21,1))</f>
        <v>0.9823471628331741</v>
      </c>
      <c r="V21" s="169">
        <f>MIN(Q21,MAX(S13-($B$17*SQRT(S21-T21)+1)/R21,0))</f>
        <v>0.12533471518609413</v>
      </c>
      <c r="W21" s="17">
        <f>U21-Q21</f>
        <v>0.3156804961665075</v>
      </c>
      <c r="X21" s="17">
        <f>V21-Q21</f>
        <v>-0.5413319514805726</v>
      </c>
      <c r="Y21" s="18" t="str">
        <f>IF(Q4&lt;V21,"s-",IF(Q4&gt;U21,"s+","ns"))</f>
        <v>ns</v>
      </c>
      <c r="Z21" s="240"/>
      <c r="AB21" s="17">
        <f>Q22-Q21</f>
        <v>-0.6666666666666666</v>
      </c>
      <c r="AC21" s="18">
        <f>-SQRT(W22^2+X21^2)</f>
        <v>-0.6295781959627128</v>
      </c>
      <c r="AD21" s="18">
        <f>SQRT(X22^2+W21^2)</f>
        <v>0.3156804961665075</v>
      </c>
      <c r="AE21" s="17">
        <f>AB21-Q6</f>
        <v>-0.3148148148148147</v>
      </c>
      <c r="AF21" s="15" t="str">
        <f>IF(AE21&lt;AC21,"s-",IF(AE21&gt;AD21,"s+","ns"))</f>
        <v>ns</v>
      </c>
    </row>
    <row r="22" spans="1:32" ht="15.75">
      <c r="A22" s="140"/>
      <c r="B22" s="11" t="s">
        <v>67</v>
      </c>
      <c r="K22" s="63" t="s">
        <v>205</v>
      </c>
      <c r="L22" s="26">
        <f>SUM(L20:L21)</f>
        <v>0</v>
      </c>
      <c r="M22" s="26">
        <f>SUM(M20:M21)</f>
        <v>8.376748251748252</v>
      </c>
      <c r="O22" s="15" t="str">
        <f>O14</f>
        <v>other</v>
      </c>
      <c r="P22" s="16" t="s">
        <v>57</v>
      </c>
      <c r="Q22" s="17">
        <f>Q14</f>
        <v>0</v>
      </c>
      <c r="R22" s="17">
        <f>2*(C14+$B$17*$B$17)</f>
        <v>29.68289488842315</v>
      </c>
      <c r="S22" s="17">
        <f>$B$17*$B$17-1/C14+4*C14*Q22*(1-Q22)</f>
        <v>3.7505383533024834</v>
      </c>
      <c r="T22" s="17">
        <f>2-4*Q22</f>
        <v>2</v>
      </c>
      <c r="U22" s="169">
        <f>MAX(Q22,MIN(S14+($B$17*SQRT(S22+T22)+1)/R22,1))</f>
        <v>0.3214473878224849</v>
      </c>
      <c r="V22" s="169">
        <f>MIN(Q22,MAX(S14-($B$17*SQRT(S22-T22)+1)/R22,0))</f>
        <v>0</v>
      </c>
      <c r="W22" s="17">
        <f>U22-Q22</f>
        <v>0.3214473878224849</v>
      </c>
      <c r="X22" s="17">
        <f>V22-Q22</f>
        <v>0</v>
      </c>
      <c r="Y22" s="18" t="str">
        <f>IF(Q5&lt;V22,"s-",IF(Q5&gt;U22,"s+","ns"))</f>
        <v>s+</v>
      </c>
      <c r="Z22" s="251"/>
      <c r="AB22" s="15"/>
      <c r="AC22" s="15"/>
      <c r="AD22" s="15"/>
      <c r="AE22" s="15"/>
      <c r="AF22" s="15"/>
    </row>
    <row r="23" spans="1:32" ht="12.75">
      <c r="A23" s="252"/>
      <c r="B23" s="3" t="s">
        <v>252</v>
      </c>
      <c r="K23" s="64" t="s">
        <v>53</v>
      </c>
      <c r="L23" s="258">
        <f>CHIDIST(L22,1)</f>
        <v>1</v>
      </c>
      <c r="M23" s="258">
        <f>CHIDIST(M22,1)</f>
        <v>0.003800518092859295</v>
      </c>
      <c r="O23" s="117"/>
      <c r="P23" s="15"/>
      <c r="Q23" s="15"/>
      <c r="R23" s="116"/>
      <c r="S23" s="15"/>
      <c r="T23" s="15"/>
      <c r="U23" s="15"/>
      <c r="V23" s="15"/>
      <c r="W23" s="15"/>
      <c r="X23" s="15"/>
      <c r="Y23" s="15"/>
      <c r="Z23" s="2"/>
      <c r="AB23" s="15"/>
      <c r="AC23" s="15"/>
      <c r="AD23" s="15"/>
      <c r="AE23" s="15"/>
      <c r="AF23" s="15"/>
    </row>
    <row r="24" spans="1:32" ht="12.75">
      <c r="A24" s="252"/>
      <c r="K24" s="15"/>
      <c r="L24" s="15" t="b">
        <f>L23&lt;0.05</f>
        <v>0</v>
      </c>
      <c r="M24" s="15" t="b">
        <f>M23&lt;0.05</f>
        <v>1</v>
      </c>
      <c r="O24" s="117"/>
      <c r="P24" s="15"/>
      <c r="Q24" s="15"/>
      <c r="R24" s="69"/>
      <c r="S24" s="15"/>
      <c r="T24" s="15"/>
      <c r="U24" s="15"/>
      <c r="V24" s="15"/>
      <c r="W24" s="15"/>
      <c r="X24" s="15"/>
      <c r="Y24" s="15"/>
      <c r="Z24" s="2"/>
      <c r="AB24" s="15"/>
      <c r="AC24" s="15"/>
      <c r="AD24" s="15"/>
      <c r="AE24" s="15"/>
      <c r="AF24" s="15"/>
    </row>
    <row r="25" spans="1:18" ht="12.75">
      <c r="A25" s="252"/>
      <c r="B25" t="s">
        <v>208</v>
      </c>
      <c r="P25" s="87"/>
      <c r="Q25" s="13"/>
      <c r="R25" s="56"/>
    </row>
    <row r="26" spans="1:29" ht="12.75">
      <c r="A26" s="252"/>
      <c r="B26" t="s">
        <v>210</v>
      </c>
      <c r="K26" s="22" t="s">
        <v>226</v>
      </c>
      <c r="L26" s="15"/>
      <c r="M26" s="15"/>
      <c r="P26" s="14"/>
      <c r="Q26" s="14"/>
      <c r="Z26" s="12"/>
      <c r="AC26" s="56"/>
    </row>
    <row r="27" spans="1:30" ht="12.75">
      <c r="A27" s="252"/>
      <c r="B27" t="s">
        <v>213</v>
      </c>
      <c r="K27" s="63" t="s">
        <v>205</v>
      </c>
      <c r="L27" s="15"/>
      <c r="M27" s="26">
        <f>SUM(L22:M22)</f>
        <v>8.376748251748252</v>
      </c>
      <c r="P27" s="12"/>
      <c r="Q27" s="14"/>
      <c r="R27" s="90"/>
      <c r="S27" s="90"/>
      <c r="T27" s="90"/>
      <c r="U27" s="55"/>
      <c r="V27" s="55"/>
      <c r="W27" s="55"/>
      <c r="X27" s="55"/>
      <c r="Z27" s="12"/>
      <c r="AC27" s="56"/>
      <c r="AD27" s="25"/>
    </row>
    <row r="28" spans="1:29" ht="12.75">
      <c r="A28" s="252"/>
      <c r="K28" s="64" t="s">
        <v>53</v>
      </c>
      <c r="L28" s="15"/>
      <c r="M28" s="258">
        <f>CHIDIST(M27,2)</f>
        <v>0.015170930856561762</v>
      </c>
      <c r="O28" s="12"/>
      <c r="P28" s="14"/>
      <c r="T28" s="88"/>
      <c r="U28" s="88"/>
      <c r="V28" s="88"/>
      <c r="W28" s="88"/>
      <c r="X28" s="12"/>
      <c r="Y28" s="58"/>
      <c r="Z28" s="58"/>
      <c r="AC28" s="56"/>
    </row>
    <row r="29" spans="2:26" ht="12.75">
      <c r="B29" t="s">
        <v>211</v>
      </c>
      <c r="K29" s="15"/>
      <c r="L29" s="15"/>
      <c r="M29" s="15" t="b">
        <f>M28&lt;0.05</f>
        <v>1</v>
      </c>
      <c r="O29" s="14"/>
      <c r="P29" s="84"/>
      <c r="S29" s="90"/>
      <c r="T29" s="90"/>
      <c r="U29" s="90"/>
      <c r="V29" s="90"/>
      <c r="W29" s="90"/>
      <c r="X29" s="12"/>
      <c r="Y29" s="58"/>
      <c r="Z29" s="58"/>
    </row>
    <row r="30" spans="2:26" ht="12.75">
      <c r="B30" t="s">
        <v>214</v>
      </c>
      <c r="O30" s="14"/>
      <c r="S30" s="90"/>
      <c r="T30" s="90"/>
      <c r="U30" s="90"/>
      <c r="V30" s="90"/>
      <c r="W30" s="90"/>
      <c r="X30" s="12"/>
      <c r="Y30" s="58"/>
      <c r="Z30" s="58"/>
    </row>
    <row r="31" spans="15:24" ht="12.75">
      <c r="O31" s="2"/>
      <c r="S31" s="90"/>
      <c r="T31" s="55"/>
      <c r="U31" s="55"/>
      <c r="V31" s="55"/>
      <c r="W31" s="55"/>
      <c r="X31" s="12"/>
    </row>
    <row r="32" spans="2:24" ht="12.75">
      <c r="B32" s="3" t="s">
        <v>249</v>
      </c>
      <c r="O32" s="2"/>
      <c r="Q32" s="90"/>
      <c r="R32" s="90"/>
      <c r="S32" s="90"/>
      <c r="T32" s="55"/>
      <c r="U32" s="55"/>
      <c r="V32" s="55"/>
      <c r="W32" s="55"/>
      <c r="X32" s="12"/>
    </row>
    <row r="33" spans="2:24" ht="12.75">
      <c r="B33" t="s">
        <v>215</v>
      </c>
      <c r="O33" s="2"/>
      <c r="Q33" s="13"/>
      <c r="S33" s="12"/>
      <c r="T33" s="12"/>
      <c r="U33" s="12"/>
      <c r="V33" s="12"/>
      <c r="W33" s="12"/>
      <c r="X33" s="12"/>
    </row>
    <row r="34" spans="2:24" ht="12.75">
      <c r="B34" t="s">
        <v>209</v>
      </c>
      <c r="O34" s="2"/>
      <c r="Q34" s="14"/>
      <c r="R34" s="12"/>
      <c r="S34" s="12"/>
      <c r="T34" s="12"/>
      <c r="U34" s="12"/>
      <c r="V34" s="12"/>
      <c r="W34" s="12"/>
      <c r="X34" s="12"/>
    </row>
    <row r="35" spans="17:24" ht="12.75">
      <c r="Q35" s="14"/>
      <c r="R35" s="12"/>
      <c r="S35" s="12"/>
      <c r="T35" s="12"/>
      <c r="U35" s="12"/>
      <c r="V35" s="12"/>
      <c r="W35" s="12"/>
      <c r="X35" s="12"/>
    </row>
    <row r="36" spans="2:24" ht="12.75">
      <c r="B36" t="s">
        <v>212</v>
      </c>
      <c r="Q36" s="14"/>
      <c r="R36" s="12"/>
      <c r="S36" s="12"/>
      <c r="T36" s="12"/>
      <c r="U36" s="12"/>
      <c r="V36" s="12"/>
      <c r="W36" s="12"/>
      <c r="X36" s="12"/>
    </row>
    <row r="37" spans="17:24" ht="12.75">
      <c r="Q37" s="12"/>
      <c r="R37" s="12"/>
      <c r="S37" s="12"/>
      <c r="T37" s="12"/>
      <c r="U37" s="12"/>
      <c r="V37" s="12"/>
      <c r="W37" s="12"/>
      <c r="X37" s="12"/>
    </row>
    <row r="38" ht="12.75">
      <c r="B38" s="3" t="s">
        <v>68</v>
      </c>
    </row>
    <row r="39" spans="2:24" ht="12.75">
      <c r="B39" s="197" t="s">
        <v>184</v>
      </c>
      <c r="P39" s="55"/>
      <c r="Q39" s="55"/>
      <c r="R39" s="55"/>
      <c r="S39" s="55"/>
      <c r="T39" s="55"/>
      <c r="U39" s="55"/>
      <c r="V39" s="55"/>
      <c r="W39" s="55"/>
      <c r="X39" s="55"/>
    </row>
    <row r="40" spans="16:24" ht="12.75">
      <c r="P40" s="55"/>
      <c r="Q40" s="55"/>
      <c r="R40" s="55"/>
      <c r="S40" s="55"/>
      <c r="T40" s="55"/>
      <c r="U40" s="55"/>
      <c r="V40" s="55"/>
      <c r="W40" s="55"/>
      <c r="X40" s="55"/>
    </row>
    <row r="41" spans="16:24" ht="12.75">
      <c r="P41" s="57"/>
      <c r="Q41" s="55"/>
      <c r="R41" s="55"/>
      <c r="S41" s="56"/>
      <c r="T41" s="56"/>
      <c r="U41" s="56"/>
      <c r="V41" s="90"/>
      <c r="W41" s="55"/>
      <c r="X41" s="55"/>
    </row>
    <row r="42" spans="16:24" ht="12.75">
      <c r="P42" s="55"/>
      <c r="Q42" s="90"/>
      <c r="R42" s="55"/>
      <c r="S42" s="56"/>
      <c r="T42" s="56"/>
      <c r="U42" s="56"/>
      <c r="V42" s="90"/>
      <c r="W42" s="55"/>
      <c r="X42" s="55"/>
    </row>
    <row r="43" spans="16:25" ht="12.75">
      <c r="P43" s="55"/>
      <c r="Q43" s="56"/>
      <c r="R43" s="55"/>
      <c r="S43" s="55"/>
      <c r="T43" s="90"/>
      <c r="U43" s="55"/>
      <c r="V43" s="55"/>
      <c r="W43" s="55"/>
      <c r="X43" s="55"/>
      <c r="Y43" s="12"/>
    </row>
    <row r="44" spans="16:24" ht="12.75">
      <c r="P44" s="90"/>
      <c r="Q44" s="56"/>
      <c r="R44" s="55"/>
      <c r="S44" s="57"/>
      <c r="T44" s="90"/>
      <c r="U44" s="90"/>
      <c r="V44" s="55"/>
      <c r="W44" s="55"/>
      <c r="X44" s="55"/>
    </row>
    <row r="45" spans="16:24" ht="12.75">
      <c r="P45" s="55"/>
      <c r="Q45" s="55"/>
      <c r="R45" s="55"/>
      <c r="S45" s="56"/>
      <c r="T45" s="56"/>
      <c r="U45" s="56"/>
      <c r="V45" s="90"/>
      <c r="W45" s="90"/>
      <c r="X45" s="55"/>
    </row>
    <row r="46" spans="5:24" ht="12.75">
      <c r="E46" s="155"/>
      <c r="F46" s="155"/>
      <c r="G46" s="155"/>
      <c r="H46" s="155"/>
      <c r="I46" s="155"/>
      <c r="J46" s="28"/>
      <c r="K46" s="155"/>
      <c r="L46" s="155"/>
      <c r="M46" s="155"/>
      <c r="P46" s="55"/>
      <c r="Q46" s="55"/>
      <c r="R46" s="55"/>
      <c r="S46" s="90"/>
      <c r="T46" s="90"/>
      <c r="U46" s="90"/>
      <c r="V46" s="90"/>
      <c r="W46" s="90"/>
      <c r="X46" s="55"/>
    </row>
    <row r="47" spans="2:24" ht="12.75">
      <c r="B47" s="3"/>
      <c r="E47" s="155"/>
      <c r="F47" s="155"/>
      <c r="G47" s="155"/>
      <c r="H47" s="155"/>
      <c r="I47" s="155"/>
      <c r="J47" s="243"/>
      <c r="K47" s="243"/>
      <c r="L47" s="243"/>
      <c r="M47" s="55"/>
      <c r="P47" s="55"/>
      <c r="Q47" s="55"/>
      <c r="R47" s="55"/>
      <c r="S47" s="88"/>
      <c r="T47" s="55"/>
      <c r="U47" s="55"/>
      <c r="V47" s="55"/>
      <c r="W47" s="55"/>
      <c r="X47" s="55"/>
    </row>
    <row r="48" spans="5:25" ht="12.75">
      <c r="E48" s="155"/>
      <c r="F48" s="155"/>
      <c r="G48" s="155"/>
      <c r="H48" s="155"/>
      <c r="I48" s="155"/>
      <c r="J48" s="243"/>
      <c r="K48" s="243"/>
      <c r="L48" s="243"/>
      <c r="M48" s="55"/>
      <c r="P48" s="55"/>
      <c r="Q48" s="55"/>
      <c r="R48" s="55"/>
      <c r="S48" s="90"/>
      <c r="T48" s="55"/>
      <c r="U48" s="55"/>
      <c r="V48" s="55"/>
      <c r="W48" s="90"/>
      <c r="X48" s="55"/>
      <c r="Y48" s="12"/>
    </row>
    <row r="49" spans="5:25" ht="12.75">
      <c r="E49" s="155"/>
      <c r="F49" s="155"/>
      <c r="G49" s="155"/>
      <c r="H49" s="155"/>
      <c r="I49" s="155"/>
      <c r="J49" s="28"/>
      <c r="K49" s="89"/>
      <c r="L49" s="89"/>
      <c r="M49" s="55"/>
      <c r="P49" s="55"/>
      <c r="Q49" s="55"/>
      <c r="R49" s="55"/>
      <c r="S49" s="57"/>
      <c r="T49" s="55"/>
      <c r="U49" s="55"/>
      <c r="V49" s="55"/>
      <c r="W49" s="90"/>
      <c r="X49" s="55"/>
      <c r="Y49" s="12"/>
    </row>
    <row r="50" spans="5:24" ht="12.75">
      <c r="E50" s="155"/>
      <c r="F50" s="155"/>
      <c r="G50" s="155"/>
      <c r="H50" s="155"/>
      <c r="I50" s="155"/>
      <c r="J50" s="28"/>
      <c r="K50" s="89"/>
      <c r="L50" s="89"/>
      <c r="M50" s="55"/>
      <c r="P50" s="55"/>
      <c r="Q50" s="55"/>
      <c r="R50" s="55"/>
      <c r="S50" s="90"/>
      <c r="T50" s="55"/>
      <c r="U50" s="90"/>
      <c r="V50" s="28"/>
      <c r="W50" s="90"/>
      <c r="X50" s="90"/>
    </row>
    <row r="51" spans="5:24" ht="12.75">
      <c r="E51" s="155"/>
      <c r="F51" s="155"/>
      <c r="G51" s="155"/>
      <c r="H51" s="155"/>
      <c r="I51" s="155"/>
      <c r="J51" s="55"/>
      <c r="K51" s="55"/>
      <c r="L51" s="55"/>
      <c r="M51" s="55"/>
      <c r="P51" s="55"/>
      <c r="Q51" s="55"/>
      <c r="R51" s="55"/>
      <c r="S51" s="55"/>
      <c r="T51" s="55"/>
      <c r="U51" s="55"/>
      <c r="V51" s="93"/>
      <c r="W51" s="56"/>
      <c r="X51" s="56"/>
    </row>
    <row r="52" spans="5:24" ht="12.75">
      <c r="E52" s="155"/>
      <c r="F52" s="155"/>
      <c r="G52" s="155"/>
      <c r="H52" s="155"/>
      <c r="I52" s="155"/>
      <c r="J52" s="55"/>
      <c r="K52" s="55"/>
      <c r="L52" s="55"/>
      <c r="M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5:24" ht="12.75">
      <c r="E53" s="155"/>
      <c r="F53" s="155"/>
      <c r="G53" s="155"/>
      <c r="H53" s="155"/>
      <c r="I53" s="155"/>
      <c r="J53" s="155"/>
      <c r="K53" s="155"/>
      <c r="L53" s="155"/>
      <c r="M53" s="155"/>
      <c r="P53" s="55"/>
      <c r="Q53" s="55"/>
      <c r="R53" s="55"/>
      <c r="S53" s="55"/>
      <c r="T53" s="55"/>
      <c r="U53" s="55"/>
      <c r="V53" s="55"/>
      <c r="W53" s="55"/>
      <c r="X53" s="55"/>
    </row>
    <row r="54" spans="5:13" ht="12.75">
      <c r="E54" s="155"/>
      <c r="F54" s="155"/>
      <c r="G54" s="155"/>
      <c r="H54" s="155"/>
      <c r="I54" s="155"/>
      <c r="J54" s="155"/>
      <c r="K54" s="155"/>
      <c r="L54" s="155"/>
      <c r="M54" s="155"/>
    </row>
    <row r="56" ht="12.75">
      <c r="AA56" s="2"/>
    </row>
    <row r="57" ht="12.75">
      <c r="AA57" s="2"/>
    </row>
    <row r="59" ht="12.75">
      <c r="AA59" s="2"/>
    </row>
    <row r="60" ht="12.75">
      <c r="AA60" s="2"/>
    </row>
    <row r="61" ht="12.75">
      <c r="AA61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F11" sqref="F11"/>
    </sheetView>
  </sheetViews>
  <sheetFormatPr defaultColWidth="9.140625" defaultRowHeight="12.75"/>
  <cols>
    <col min="1" max="1" width="11.28125" style="0" customWidth="1"/>
    <col min="11" max="11" width="10.57421875" style="0" bestFit="1" customWidth="1"/>
    <col min="12" max="12" width="9.57421875" style="0" bestFit="1" customWidth="1"/>
  </cols>
  <sheetData>
    <row r="1" spans="1:18" ht="18">
      <c r="A1" s="4" t="s">
        <v>238</v>
      </c>
      <c r="I1" s="15"/>
      <c r="J1" s="15" t="s">
        <v>229</v>
      </c>
      <c r="K1" s="15"/>
      <c r="L1" s="15"/>
      <c r="M1" s="15"/>
      <c r="N1" s="15"/>
      <c r="O1" s="15"/>
      <c r="P1" s="15"/>
      <c r="Q1" s="15"/>
      <c r="R1" s="15"/>
    </row>
    <row r="2" spans="9:18" ht="12.75">
      <c r="I2" s="16" t="s">
        <v>243</v>
      </c>
      <c r="J2" s="16" t="s">
        <v>241</v>
      </c>
      <c r="K2" s="15"/>
      <c r="L2" s="15"/>
      <c r="M2" s="15"/>
      <c r="N2" s="15"/>
      <c r="O2" s="15"/>
      <c r="P2" s="15"/>
      <c r="Q2" s="15"/>
      <c r="R2" s="15"/>
    </row>
    <row r="3" spans="1:19" ht="12.75">
      <c r="A3" s="3" t="s">
        <v>206</v>
      </c>
      <c r="B3" s="3">
        <v>1</v>
      </c>
      <c r="C3" s="3">
        <v>2</v>
      </c>
      <c r="I3" s="238">
        <f>B3</f>
        <v>1</v>
      </c>
      <c r="J3" s="238">
        <f>C3</f>
        <v>2</v>
      </c>
      <c r="K3" s="15"/>
      <c r="L3" s="15"/>
      <c r="M3" s="15"/>
      <c r="N3" s="15"/>
      <c r="O3" s="15"/>
      <c r="P3" s="15"/>
      <c r="Q3" s="15"/>
      <c r="R3" s="15"/>
      <c r="S3">
        <v>0.1</v>
      </c>
    </row>
    <row r="4" spans="1:19" ht="12.75">
      <c r="A4" s="3" t="s">
        <v>239</v>
      </c>
      <c r="B4" s="106">
        <v>37305</v>
      </c>
      <c r="C4" s="156">
        <v>2944</v>
      </c>
      <c r="D4" s="241">
        <f>SUM(B4:C4)</f>
        <v>40249</v>
      </c>
      <c r="E4" s="10" t="s">
        <v>167</v>
      </c>
      <c r="H4" s="1"/>
      <c r="I4" s="17">
        <f>B4/B6</f>
        <v>0.19316604875623952</v>
      </c>
      <c r="J4" s="17">
        <f>C4/C6</f>
        <v>0.07891703524996649</v>
      </c>
      <c r="K4" s="15"/>
      <c r="L4" s="15"/>
      <c r="M4" s="15"/>
      <c r="N4" s="15"/>
      <c r="O4" s="15"/>
      <c r="P4" s="15"/>
      <c r="Q4" s="15"/>
      <c r="R4" s="15"/>
      <c r="S4">
        <f>1-S3</f>
        <v>0.9</v>
      </c>
    </row>
    <row r="5" spans="1:19" ht="12.75">
      <c r="A5" s="3" t="s">
        <v>240</v>
      </c>
      <c r="B5" s="109">
        <f>193124-B4</f>
        <v>155819</v>
      </c>
      <c r="C5" s="158">
        <f>B4-C4</f>
        <v>34361</v>
      </c>
      <c r="D5" s="242">
        <f>SUM(B5:C5)</f>
        <v>190180</v>
      </c>
      <c r="E5" s="2"/>
      <c r="F5" s="2"/>
      <c r="G5" s="2"/>
      <c r="H5" s="1"/>
      <c r="I5" s="15" t="s">
        <v>123</v>
      </c>
      <c r="J5" s="17">
        <f>J4-I4</f>
        <v>-0.11424901350627303</v>
      </c>
      <c r="K5" s="15"/>
      <c r="L5" s="15"/>
      <c r="M5" s="15"/>
      <c r="N5" s="15"/>
      <c r="O5" s="15"/>
      <c r="P5" s="15"/>
      <c r="Q5" s="15"/>
      <c r="R5" s="15"/>
      <c r="S5">
        <f>S4+1</f>
        <v>1.9</v>
      </c>
    </row>
    <row r="6" spans="2:18" ht="12.75">
      <c r="B6" s="244">
        <f>SUM(B4:B5)</f>
        <v>193124</v>
      </c>
      <c r="C6" s="245">
        <f>SUM(C4:C5)</f>
        <v>37305</v>
      </c>
      <c r="D6" s="246">
        <f>SUM(D4:D5)</f>
        <v>230429</v>
      </c>
      <c r="E6" s="2"/>
      <c r="F6" s="2"/>
      <c r="G6" s="2"/>
      <c r="H6" s="1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8" ht="12.75">
      <c r="B7" s="247"/>
      <c r="C7" s="247"/>
      <c r="D7" s="247"/>
      <c r="H7" s="1"/>
    </row>
    <row r="8" spans="2:18" ht="12.75">
      <c r="B8" s="247"/>
      <c r="D8" s="247"/>
      <c r="I8" s="15"/>
      <c r="J8" s="15" t="s">
        <v>245</v>
      </c>
      <c r="K8" s="15"/>
      <c r="L8" s="15"/>
      <c r="M8" s="15"/>
      <c r="N8" s="15"/>
      <c r="O8" s="15"/>
      <c r="P8" s="15"/>
      <c r="Q8" s="15"/>
      <c r="R8" s="15"/>
    </row>
    <row r="9" spans="2:18" ht="12.75">
      <c r="B9" s="247"/>
      <c r="C9" s="247"/>
      <c r="D9" s="247"/>
      <c r="I9" s="15"/>
      <c r="J9" s="185" t="s">
        <v>246</v>
      </c>
      <c r="K9" s="15"/>
      <c r="L9" s="15"/>
      <c r="M9" s="15"/>
      <c r="N9" s="15"/>
      <c r="O9" s="15"/>
      <c r="P9" s="15"/>
      <c r="Q9" s="15"/>
      <c r="R9" s="15"/>
    </row>
    <row r="10" spans="2:18" ht="12.75">
      <c r="B10" s="247"/>
      <c r="C10" s="247"/>
      <c r="D10" s="247"/>
      <c r="I10" s="16" t="s">
        <v>55</v>
      </c>
      <c r="J10" s="16" t="s">
        <v>53</v>
      </c>
      <c r="K10" s="15"/>
      <c r="L10" s="15"/>
      <c r="M10" s="15"/>
      <c r="N10" s="15"/>
      <c r="O10" s="15"/>
      <c r="P10" s="15"/>
      <c r="Q10" s="15"/>
      <c r="R10" s="15"/>
    </row>
    <row r="11" spans="1:19" ht="12.75">
      <c r="A11" s="3" t="s">
        <v>207</v>
      </c>
      <c r="B11" s="3">
        <f>B3</f>
        <v>1</v>
      </c>
      <c r="C11" s="3">
        <f>C3</f>
        <v>2</v>
      </c>
      <c r="D11" s="247"/>
      <c r="I11" s="238">
        <f>B11</f>
        <v>1</v>
      </c>
      <c r="J11" s="259">
        <f>C11</f>
        <v>2</v>
      </c>
      <c r="K11" s="15" t="s">
        <v>72</v>
      </c>
      <c r="L11" s="15" t="s">
        <v>73</v>
      </c>
      <c r="M11" s="15" t="s">
        <v>74</v>
      </c>
      <c r="N11" s="15" t="s">
        <v>75</v>
      </c>
      <c r="O11" s="15" t="s">
        <v>76</v>
      </c>
      <c r="P11" s="15" t="s">
        <v>159</v>
      </c>
      <c r="Q11" s="15" t="s">
        <v>160</v>
      </c>
      <c r="R11" s="15"/>
      <c r="S11">
        <f>-S3</f>
        <v>-0.1</v>
      </c>
    </row>
    <row r="12" spans="1:19" ht="12.75">
      <c r="A12" s="3" t="str">
        <f>A4</f>
        <v>AJP</v>
      </c>
      <c r="B12" s="106">
        <v>20087</v>
      </c>
      <c r="C12" s="261">
        <v>1707</v>
      </c>
      <c r="D12" s="241">
        <f>SUM(B12:C12)</f>
        <v>21794</v>
      </c>
      <c r="E12" s="2"/>
      <c r="F12" s="2"/>
      <c r="G12" s="2"/>
      <c r="I12" s="17">
        <f>B12/B14</f>
        <v>0.21223070990100057</v>
      </c>
      <c r="J12" s="260">
        <f>C12/C14</f>
        <v>0.08498033554039926</v>
      </c>
      <c r="K12" s="15">
        <f>$B$17^2/C14</f>
        <v>0.00019124047613937244</v>
      </c>
      <c r="L12" s="17">
        <f>(J12+K12/2)/(1+K12)</f>
        <v>0.08505968892305903</v>
      </c>
      <c r="M12" s="17">
        <f>$B$17*SQRT((J12*(1-J12)+K12/4)/C14)/(1+K12)</f>
        <v>0.0038566903255617983</v>
      </c>
      <c r="N12" s="17">
        <f>L12+M12</f>
        <v>0.08891637924862082</v>
      </c>
      <c r="O12" s="17">
        <f>L12-M12</f>
        <v>0.08120299859749723</v>
      </c>
      <c r="P12" s="17">
        <f>N12-J12</f>
        <v>0.003936043708221565</v>
      </c>
      <c r="Q12" s="17">
        <f>O12-J12</f>
        <v>-0.0037773369429020265</v>
      </c>
      <c r="R12" s="18" t="str">
        <f>IF(J14&lt;O12,"s-",IF(J14&gt;N12,"s+","ns"))</f>
        <v>s-</v>
      </c>
      <c r="S12">
        <f>1-S11</f>
        <v>1.1</v>
      </c>
    </row>
    <row r="13" spans="1:19" ht="12.75">
      <c r="A13" s="3" t="str">
        <f>A5</f>
        <v>¬AJP</v>
      </c>
      <c r="B13" s="109">
        <f>94647-B12</f>
        <v>74560</v>
      </c>
      <c r="C13" s="262">
        <f>B12-C12</f>
        <v>18380</v>
      </c>
      <c r="D13" s="242">
        <f>SUM(B13:C13)</f>
        <v>92940</v>
      </c>
      <c r="E13" s="2"/>
      <c r="F13" s="2"/>
      <c r="G13" s="2"/>
      <c r="H13" s="1"/>
      <c r="I13" s="15" t="s">
        <v>105</v>
      </c>
      <c r="J13" s="17">
        <f>J12-I12</f>
        <v>-0.12725037436060133</v>
      </c>
      <c r="K13" s="15"/>
      <c r="L13" s="15"/>
      <c r="M13" s="15"/>
      <c r="N13" s="15"/>
      <c r="O13" s="15"/>
      <c r="P13" s="263" t="s">
        <v>195</v>
      </c>
      <c r="Q13" s="17">
        <f>-Q12</f>
        <v>0.0037773369429020265</v>
      </c>
      <c r="R13" s="15"/>
      <c r="S13">
        <f>S12+1</f>
        <v>2.1</v>
      </c>
    </row>
    <row r="14" spans="2:18" ht="12.75">
      <c r="B14" s="91">
        <f>SUM(B12:B13)</f>
        <v>94647</v>
      </c>
      <c r="C14" s="115">
        <f>SUM(C12:C13)</f>
        <v>20087</v>
      </c>
      <c r="D14" s="92">
        <f>SUM(D12:D13)</f>
        <v>114734</v>
      </c>
      <c r="E14" s="2"/>
      <c r="F14" s="2"/>
      <c r="G14" s="2"/>
      <c r="H14" s="1"/>
      <c r="I14" s="15" t="s">
        <v>242</v>
      </c>
      <c r="J14" s="17">
        <f>J13-J5</f>
        <v>-0.013001360854328292</v>
      </c>
      <c r="K14" s="15"/>
      <c r="L14" s="15"/>
      <c r="M14" s="15"/>
      <c r="N14" s="15"/>
      <c r="O14" s="15"/>
      <c r="P14" s="15"/>
      <c r="Q14" s="15"/>
      <c r="R14" s="15"/>
    </row>
    <row r="15" ht="12.75">
      <c r="H15" s="1"/>
    </row>
    <row r="16" spans="1:18" ht="12.75">
      <c r="A16" s="3" t="s">
        <v>53</v>
      </c>
      <c r="B16" s="25">
        <v>0.05</v>
      </c>
      <c r="C16" s="10" t="s">
        <v>220</v>
      </c>
      <c r="D16" s="3"/>
      <c r="I16" s="15"/>
      <c r="J16" s="15" t="s">
        <v>244</v>
      </c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3" t="s">
        <v>78</v>
      </c>
      <c r="B17" s="13">
        <f>NORMSINV(1-(B16/2))</f>
        <v>1.9599610823206604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5:18" ht="12.75">
      <c r="E18" s="2"/>
      <c r="F18" s="2"/>
      <c r="G18" s="2"/>
      <c r="I18" s="15"/>
      <c r="J18" s="15" t="s">
        <v>53</v>
      </c>
      <c r="K18" s="116" t="s">
        <v>153</v>
      </c>
      <c r="L18" s="116" t="s">
        <v>154</v>
      </c>
      <c r="M18" s="116" t="s">
        <v>155</v>
      </c>
      <c r="N18" s="116" t="s">
        <v>156</v>
      </c>
      <c r="O18" s="116" t="s">
        <v>157</v>
      </c>
      <c r="P18" s="15" t="s">
        <v>159</v>
      </c>
      <c r="Q18" s="15" t="s">
        <v>160</v>
      </c>
      <c r="R18" s="15"/>
    </row>
    <row r="19" spans="9:18" ht="12.75">
      <c r="I19" s="15"/>
      <c r="J19" s="17">
        <f>J12</f>
        <v>0.08498033554039926</v>
      </c>
      <c r="K19" s="17">
        <f>2*(C14+$B$17*$B$17)</f>
        <v>40181.68289488842</v>
      </c>
      <c r="L19" s="17">
        <f>$B$17*$B$17-1/C14+4*C14*J19*(1-J19)</f>
        <v>6251.5956665909225</v>
      </c>
      <c r="M19" s="17">
        <f>2-4*J19</f>
        <v>1.660078657838403</v>
      </c>
      <c r="N19" s="169">
        <f>MAX(J19,MIN(L12+($B$17*SQRT(L19+M19)+1)/K19,1))</f>
        <v>0.08894177822290374</v>
      </c>
      <c r="O19" s="169">
        <f>MIN(J19,MAX(L12-($B$17*SQRT(L19-M19)+1)/K19,0))</f>
        <v>0.08117862374724148</v>
      </c>
      <c r="P19" s="17">
        <f>N19-J19</f>
        <v>0.003961442682504479</v>
      </c>
      <c r="Q19" s="17">
        <f>O19-J19</f>
        <v>-0.003801711793157775</v>
      </c>
      <c r="R19" s="18" t="str">
        <f>IF(J14&lt;O19,"s-",IF(J14&gt;N19,"s+","ns"))</f>
        <v>s-</v>
      </c>
    </row>
    <row r="20" spans="9:18" ht="12.75"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9:18" ht="12.75"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4" spans="2:12" ht="15.75">
      <c r="B24" s="11" t="s">
        <v>67</v>
      </c>
      <c r="J24" s="135"/>
      <c r="K24" s="135"/>
      <c r="L24" s="135"/>
    </row>
    <row r="25" ht="12.75">
      <c r="B25" s="3" t="s">
        <v>252</v>
      </c>
    </row>
    <row r="26" ht="12.75">
      <c r="B26" t="s">
        <v>247</v>
      </c>
    </row>
    <row r="28" ht="12.75">
      <c r="B28" t="s">
        <v>251</v>
      </c>
    </row>
    <row r="29" ht="12.75">
      <c r="B29" t="s">
        <v>250</v>
      </c>
    </row>
    <row r="31" ht="12.75">
      <c r="B31" s="3" t="s">
        <v>68</v>
      </c>
    </row>
    <row r="32" ht="12.75">
      <c r="B32" t="s">
        <v>248</v>
      </c>
    </row>
    <row r="33" ht="12.75">
      <c r="B33" s="197" t="s">
        <v>184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D7" sqref="D7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  <col min="19" max="19" width="9.140625" style="0" customWidth="1"/>
    <col min="21" max="21" width="10.8515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homogeneity'!B4</f>
        <v>124</v>
      </c>
      <c r="D4" s="266">
        <f>'2x2 homogeneity'!C4</f>
        <v>46</v>
      </c>
      <c r="E4" s="35">
        <f>SUM(C4:D4)</f>
        <v>170</v>
      </c>
      <c r="G4" s="10"/>
    </row>
    <row r="5" spans="1:5" ht="12.75">
      <c r="A5" s="269"/>
      <c r="B5" s="34" t="s">
        <v>64</v>
      </c>
      <c r="C5" s="267">
        <f>'2x2 homogeneity'!B5</f>
        <v>501</v>
      </c>
      <c r="D5" s="186">
        <f>'2x2 homogeneity'!C5</f>
        <v>544</v>
      </c>
      <c r="E5" s="36">
        <f>SUM(C5:D5)</f>
        <v>1045</v>
      </c>
    </row>
    <row r="6" spans="2:5" ht="12.75">
      <c r="B6" s="37" t="s">
        <v>91</v>
      </c>
      <c r="C6" s="38">
        <f>SUM(C4:C5)</f>
        <v>625</v>
      </c>
      <c r="D6" s="39">
        <f>SUM(D4:D5)</f>
        <v>590</v>
      </c>
      <c r="E6" s="40">
        <f>SUM(E4:E5)</f>
        <v>1215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0.13991769547325103</v>
      </c>
      <c r="N9" s="202">
        <f>C6/E6</f>
        <v>0.51440329218107</v>
      </c>
      <c r="O9" s="198"/>
      <c r="R9" s="15" t="s">
        <v>53</v>
      </c>
      <c r="S9" s="17">
        <f>M10</f>
        <v>0.1984</v>
      </c>
      <c r="T9" s="17">
        <f>M11</f>
        <v>0.07796610169491526</v>
      </c>
      <c r="U9" s="15"/>
      <c r="V9" s="17">
        <f>N10</f>
        <v>0.7294117647058823</v>
      </c>
      <c r="W9" s="17">
        <f>N11</f>
        <v>0.47942583732057414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0.1984</v>
      </c>
      <c r="N10" s="202">
        <f>C4/E4</f>
        <v>0.7294117647058823</v>
      </c>
      <c r="O10" s="198"/>
      <c r="R10" s="15" t="s">
        <v>72</v>
      </c>
      <c r="S10" s="17">
        <f>L2/C6</f>
        <v>0.006146328540808099</v>
      </c>
      <c r="T10" s="17">
        <f>L2/D6</f>
        <v>0.0065109412508560375</v>
      </c>
      <c r="U10" s="17"/>
      <c r="V10" s="17">
        <f>L2/E4</f>
        <v>0.02259679610591213</v>
      </c>
      <c r="W10" s="17">
        <f>L2/E5</f>
        <v>0.0036760338162727868</v>
      </c>
    </row>
    <row r="11" spans="1:23" ht="12.75">
      <c r="A11" s="30"/>
      <c r="B11" s="34" t="str">
        <f>$B$4</f>
        <v>b</v>
      </c>
      <c r="C11" s="187">
        <f>$E4*C$6/$E$6</f>
        <v>87.44855967078189</v>
      </c>
      <c r="D11" s="188">
        <f>$E4*D$6/$E$6</f>
        <v>82.55144032921811</v>
      </c>
      <c r="F11" s="43"/>
      <c r="G11" s="189">
        <f>(C4-C11)^2/C11</f>
        <v>15.277642023723072</v>
      </c>
      <c r="H11" s="189">
        <f>(D4-D11)^2/D11</f>
        <v>16.18394282174054</v>
      </c>
      <c r="L11" s="198" t="s">
        <v>57</v>
      </c>
      <c r="M11" s="202">
        <f>D4/D6</f>
        <v>0.07796610169491526</v>
      </c>
      <c r="N11" s="202">
        <f>C5/E5</f>
        <v>0.47942583732057414</v>
      </c>
      <c r="O11" s="198"/>
      <c r="R11" s="15" t="s">
        <v>73</v>
      </c>
      <c r="S11" s="17">
        <f>(S9+S10/2)/(1+S10)</f>
        <v>0.20024240863910536</v>
      </c>
      <c r="T11" s="17">
        <f>(T9+T10/2)/(1+T10)</f>
        <v>0.08069616433518746</v>
      </c>
      <c r="U11" s="17"/>
      <c r="V11" s="17">
        <f>(N10+V10/2)/(1+V10)</f>
        <v>0.7243423464453351</v>
      </c>
      <c r="W11" s="17">
        <f>(W9+W10/2)/(1+W10)</f>
        <v>0.4795011916333234</v>
      </c>
    </row>
    <row r="12" spans="1:23" ht="12.75">
      <c r="A12" s="30"/>
      <c r="B12" s="34" t="str">
        <f>$B$5</f>
        <v>¬b</v>
      </c>
      <c r="C12" s="190">
        <f>$E5*C$6/$E$6</f>
        <v>537.551440329218</v>
      </c>
      <c r="D12" s="191">
        <f>$E5*D$6/$E$6</f>
        <v>507.4485596707819</v>
      </c>
      <c r="F12" s="43"/>
      <c r="G12" s="189">
        <f>(C5-C12)^2/C12</f>
        <v>2.4853580325673823</v>
      </c>
      <c r="H12" s="189">
        <f>(D5-D12)^2/D12</f>
        <v>2.632794526024777</v>
      </c>
      <c r="L12" s="198" t="s">
        <v>109</v>
      </c>
      <c r="M12" s="202">
        <f>SQRT(M9*(1-M9)*(1/C6+1/D6))</f>
        <v>0.019912622129016802</v>
      </c>
      <c r="N12" s="202">
        <f>SQRT(N9*(1-N9)*(1/E4+1/E5))</f>
        <v>0.04133284216197549</v>
      </c>
      <c r="O12" s="198"/>
      <c r="R12" s="15" t="s">
        <v>129</v>
      </c>
      <c r="S12" s="17">
        <f>$M$2*SQRT((S9*(1-S9)+S10/4)/C6)/(1+S10)</f>
        <v>0.031223669077401622</v>
      </c>
      <c r="T12" s="17">
        <f>$M$2*SQRT((T9*(1-T9)+T10/4)/D6)/(1+T10)</f>
        <v>0.02173658375447165</v>
      </c>
      <c r="U12" s="17"/>
      <c r="V12" s="17">
        <f>$M$2*SQRT((V9*(1-V9)+V10/4)/E4)/(1+V10)</f>
        <v>0.06623497452614324</v>
      </c>
      <c r="W12" s="17">
        <f>$M$2*SQRT((W9*(1-W9)+W10/4)/E5)/(1+W10)</f>
        <v>0.03023402006355521</v>
      </c>
    </row>
    <row r="13" spans="1:23" ht="12.75">
      <c r="A13" s="30"/>
      <c r="C13" s="46"/>
      <c r="D13" s="46"/>
      <c r="F13" s="47" t="s">
        <v>91</v>
      </c>
      <c r="G13" s="48">
        <f>SUM(G11:H12)</f>
        <v>36.57973740405577</v>
      </c>
      <c r="H13" s="49"/>
      <c r="L13" s="198" t="s">
        <v>112</v>
      </c>
      <c r="M13" s="202">
        <f>$M2*M12</f>
        <v>0.039027964419830107</v>
      </c>
      <c r="N13" s="202">
        <f>$M2*N12</f>
        <v>0.0810107620591745</v>
      </c>
      <c r="O13" s="198"/>
      <c r="R13" s="15" t="s">
        <v>76</v>
      </c>
      <c r="S13" s="17">
        <f>S11-S12</f>
        <v>0.16901873956170374</v>
      </c>
      <c r="T13" s="17">
        <f>T11-T12</f>
        <v>0.05895958058071581</v>
      </c>
      <c r="U13" s="17"/>
      <c r="V13" s="17">
        <f>V11-V12</f>
        <v>0.6581073719191919</v>
      </c>
      <c r="W13" s="17">
        <f>W11-W12</f>
        <v>0.4492671715697682</v>
      </c>
    </row>
    <row r="14" spans="1:23" ht="12.75">
      <c r="A14" s="50"/>
      <c r="F14" s="43" t="s">
        <v>98</v>
      </c>
      <c r="G14" s="51">
        <f>CHIDIST(G13,1)</f>
        <v>1.4654715420201975E-09</v>
      </c>
      <c r="H14" s="49" t="str">
        <f>IF((G14&lt;0.05),"s","ns")</f>
        <v>s</v>
      </c>
      <c r="L14" s="264" t="s">
        <v>105</v>
      </c>
      <c r="M14" s="202">
        <f>M11-M10</f>
        <v>-0.12043389830508473</v>
      </c>
      <c r="N14" s="202">
        <f>N11-N10</f>
        <v>-0.24998592738530817</v>
      </c>
      <c r="O14" s="198"/>
      <c r="R14" s="15" t="s">
        <v>75</v>
      </c>
      <c r="S14" s="17">
        <f>S11+S12</f>
        <v>0.23146607771650698</v>
      </c>
      <c r="T14" s="17">
        <f>T11+T12</f>
        <v>0.1024327480896591</v>
      </c>
      <c r="U14" s="17"/>
      <c r="V14" s="17">
        <f>V11+V12</f>
        <v>0.7905773209714784</v>
      </c>
      <c r="W14" s="17">
        <f>W11+W12</f>
        <v>0.5097352116968786</v>
      </c>
    </row>
    <row r="15" spans="6:23" ht="12.75">
      <c r="F15" s="43" t="s">
        <v>99</v>
      </c>
      <c r="G15" s="192">
        <f>(C4*D5-C5*D4)/SQRT(E4*E5*C6*D6)</f>
        <v>0.1735130535620433</v>
      </c>
      <c r="H15" s="52">
        <f>SQRT(G13/E6)</f>
        <v>0.1735130535620433</v>
      </c>
      <c r="L15" s="198" t="s">
        <v>168</v>
      </c>
      <c r="M15" s="202">
        <f>M14-M13</f>
        <v>-0.15946186272491483</v>
      </c>
      <c r="N15" s="202">
        <f>N14-N13</f>
        <v>-0.3309966894444827</v>
      </c>
      <c r="O15" s="198"/>
      <c r="R15" s="15" t="s">
        <v>160</v>
      </c>
      <c r="S15" s="17">
        <f>M10-S13</f>
        <v>0.029381260438296253</v>
      </c>
      <c r="T15" s="17">
        <f>M11-T13</f>
        <v>0.019006521114199447</v>
      </c>
      <c r="U15" s="17"/>
      <c r="V15" s="17">
        <f>N10-V13</f>
        <v>0.07130439278669043</v>
      </c>
      <c r="W15" s="17">
        <f>N11-W13</f>
        <v>0.030158665750805946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L16" s="198" t="s">
        <v>169</v>
      </c>
      <c r="M16" s="202">
        <f>M14+M13</f>
        <v>-0.08140593388525463</v>
      </c>
      <c r="N16" s="202">
        <f>N14+N13</f>
        <v>-0.16897516532613366</v>
      </c>
      <c r="O16" s="198"/>
      <c r="R16" s="15" t="s">
        <v>159</v>
      </c>
      <c r="S16" s="17">
        <f>S14-M10</f>
        <v>0.03306607771650699</v>
      </c>
      <c r="T16" s="17">
        <f>T14-M11</f>
        <v>0.024466646394743843</v>
      </c>
      <c r="U16" s="17"/>
      <c r="V16" s="17">
        <f>V14-N10</f>
        <v>0.061165556265596055</v>
      </c>
      <c r="W16" s="17">
        <f>W14-N11</f>
        <v>0.030309374376304488</v>
      </c>
    </row>
    <row r="17" spans="2:23" ht="12.75">
      <c r="B17" t="s">
        <v>53</v>
      </c>
      <c r="C17">
        <f aca="true" t="shared" si="0" ref="C17:E19">C4/$E$6</f>
        <v>0.10205761316872428</v>
      </c>
      <c r="D17">
        <f t="shared" si="0"/>
        <v>0.03786008230452675</v>
      </c>
      <c r="E17">
        <f t="shared" si="0"/>
        <v>0.13991769547325103</v>
      </c>
      <c r="F17" t="s">
        <v>100</v>
      </c>
      <c r="G17">
        <f>C17/$E17*C$19</f>
        <v>0.3752118131203098</v>
      </c>
      <c r="H17">
        <f>D17/$E17*D$19</f>
        <v>0.13139675623335753</v>
      </c>
      <c r="I17">
        <f>SUM(G17:H17)</f>
        <v>0.5066085693536674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-0.038234477252192485</v>
      </c>
      <c r="U17" s="17"/>
      <c r="V17" s="17"/>
      <c r="W17" s="17">
        <f>-SQRT(V15^2+W16^2)</f>
        <v>-0.07747886554255691</v>
      </c>
    </row>
    <row r="18" spans="3:23" ht="12.75">
      <c r="C18">
        <f t="shared" si="0"/>
        <v>0.4123456790123457</v>
      </c>
      <c r="D18">
        <f t="shared" si="0"/>
        <v>0.4477366255144033</v>
      </c>
      <c r="E18">
        <f t="shared" si="0"/>
        <v>0.8600823045267489</v>
      </c>
      <c r="G18">
        <f>C18/$E18*C$19</f>
        <v>0.24661822907436945</v>
      </c>
      <c r="H18">
        <f>D18/$E18*D$19</f>
        <v>0.25278909957272533</v>
      </c>
      <c r="I18">
        <f>SUM(G18:H18)</f>
        <v>0.4994073286470948</v>
      </c>
      <c r="L18" s="198" t="s">
        <v>170</v>
      </c>
      <c r="M18" s="202"/>
      <c r="N18" s="202">
        <f>-SIGN(M15)*SQRT(M15*N15)</f>
        <v>0.22974191749569203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0.03813939355074474</v>
      </c>
      <c r="U18" s="17"/>
      <c r="V18" s="17"/>
      <c r="W18" s="17">
        <f>SQRT(V16^2+W15^2)</f>
        <v>0.06819655704761518</v>
      </c>
    </row>
    <row r="19" spans="3:23" ht="12.75">
      <c r="C19">
        <f t="shared" si="0"/>
        <v>0.51440329218107</v>
      </c>
      <c r="D19">
        <f t="shared" si="0"/>
        <v>0.48559670781893005</v>
      </c>
      <c r="E19">
        <f t="shared" si="0"/>
        <v>1</v>
      </c>
      <c r="G19">
        <f>SUM(G17:G18)</f>
        <v>0.6218300421946793</v>
      </c>
      <c r="H19">
        <f>SUM(H17:H18)</f>
        <v>0.3841858558060829</v>
      </c>
      <c r="L19" s="198"/>
      <c r="M19" s="202"/>
      <c r="N19" s="202">
        <f>-SIGN(M16)*SQRT(M16*N16)</f>
        <v>0.11728418962839453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-0.08219942105289224</v>
      </c>
      <c r="U20" s="17"/>
      <c r="V20" s="17"/>
      <c r="W20" s="17">
        <f>N14-W17</f>
        <v>-0.17250706184275127</v>
      </c>
    </row>
    <row r="21" spans="2:23" ht="12.75">
      <c r="B21" s="249" t="s">
        <v>255</v>
      </c>
      <c r="C21">
        <f aca="true" t="shared" si="1" ref="C21:E23">C17*C17</f>
        <v>0.010415756405696962</v>
      </c>
      <c r="D21">
        <f t="shared" si="1"/>
        <v>0.0014333858321055393</v>
      </c>
      <c r="E21">
        <f t="shared" si="1"/>
        <v>0.01957696150654541</v>
      </c>
      <c r="G21">
        <f>C21/$E21*C$23</f>
        <v>0.1407839047050303</v>
      </c>
      <c r="H21">
        <f>D21/$E21*D$23</f>
        <v>0.017265107548648385</v>
      </c>
      <c r="I21">
        <f>SUM(G21:H21)</f>
        <v>0.15804901225367868</v>
      </c>
      <c r="L21" s="198"/>
      <c r="M21" s="198"/>
      <c r="N21" s="202">
        <f>G15-N19</f>
        <v>0.05622886393364877</v>
      </c>
      <c r="O21" s="198">
        <f>N21/M2</f>
        <v>0.028688765527462357</v>
      </c>
      <c r="R21" s="15" t="s">
        <v>176</v>
      </c>
      <c r="S21" s="15"/>
      <c r="T21" s="17">
        <f>M14-T18</f>
        <v>-0.15857329185582947</v>
      </c>
      <c r="U21" s="17"/>
      <c r="V21" s="17"/>
      <c r="W21" s="17">
        <f>N14-W18</f>
        <v>-0.31818248443292335</v>
      </c>
    </row>
    <row r="22" spans="3:23" ht="12.75">
      <c r="C22">
        <f t="shared" si="1"/>
        <v>0.17002895900015244</v>
      </c>
      <c r="D22">
        <f t="shared" si="1"/>
        <v>0.20046808582702502</v>
      </c>
      <c r="E22">
        <f t="shared" si="1"/>
        <v>0.7397415705600433</v>
      </c>
      <c r="G22">
        <f>C22/$E22*C$23</f>
        <v>0.06082055091177816</v>
      </c>
      <c r="H22">
        <f>D22/$E22*D$23</f>
        <v>0.06390232886278924</v>
      </c>
      <c r="I22">
        <f>SUM(G22:H22)</f>
        <v>0.12472287977456739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0.2646107470067232</v>
      </c>
      <c r="D23">
        <f t="shared" si="1"/>
        <v>0.23580416264458331</v>
      </c>
      <c r="E23">
        <f t="shared" si="1"/>
        <v>1</v>
      </c>
      <c r="G23">
        <f>SUM(G21:G22)</f>
        <v>0.20160445561680845</v>
      </c>
      <c r="H23">
        <f>SUM(H21:H22)</f>
        <v>0.08116743641143762</v>
      </c>
      <c r="R23" s="15" t="s">
        <v>171</v>
      </c>
      <c r="S23" s="15"/>
      <c r="T23" s="17">
        <f>-SIGN(T21)*SQRT(T21*W21)</f>
        <v>0.2246224476035173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0.11907972376105697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0.0010630072381122824</v>
      </c>
      <c r="D25">
        <f t="shared" si="2"/>
        <v>5.426810557765828E-05</v>
      </c>
      <c r="E25">
        <f t="shared" si="2"/>
        <v>0.0027391633383643784</v>
      </c>
      <c r="F25" t="s">
        <v>258</v>
      </c>
      <c r="G25">
        <f>(C21/(C$19*$E17))</f>
        <v>0.14471529411764705</v>
      </c>
      <c r="H25">
        <f>(D21/(D$19*$E17))</f>
        <v>0.02109670987038883</v>
      </c>
      <c r="I25">
        <f>SUM(G25:H25)</f>
        <v>0.1658120039880359</v>
      </c>
      <c r="J25">
        <f>I25^2</f>
        <v>0.02749362066652843</v>
      </c>
      <c r="L25" s="198"/>
      <c r="M25" s="198" t="s">
        <v>172</v>
      </c>
      <c r="N25" s="198"/>
      <c r="O25" s="198"/>
    </row>
    <row r="26" spans="3:15" ht="12.75">
      <c r="C26">
        <f t="shared" si="2"/>
        <v>0.07011070655068015</v>
      </c>
      <c r="D26">
        <f t="shared" si="2"/>
        <v>0.08975690427152395</v>
      </c>
      <c r="E26">
        <f t="shared" si="2"/>
        <v>0.6362386347615187</v>
      </c>
      <c r="G26">
        <f>(C22/(C$19*$E18))</f>
        <v>0.38430775119617233</v>
      </c>
      <c r="H26">
        <f>(D22/(D$19*$E18))</f>
        <v>0.47998702457221637</v>
      </c>
      <c r="I26">
        <f>SUM(G26:H26)</f>
        <v>0.8642947757683888</v>
      </c>
      <c r="J26">
        <f>I26^2</f>
        <v>0.7470054594205294</v>
      </c>
      <c r="L26" s="198"/>
      <c r="M26" s="198"/>
      <c r="N26" s="198"/>
      <c r="O26" s="198"/>
    </row>
    <row r="27" spans="3:15" ht="12.75">
      <c r="C27">
        <f t="shared" si="2"/>
        <v>0.13611663940675062</v>
      </c>
      <c r="D27">
        <f t="shared" si="2"/>
        <v>0.11450572507020919</v>
      </c>
      <c r="E27">
        <f t="shared" si="2"/>
        <v>1</v>
      </c>
      <c r="G27">
        <f>SUM(G25:G26)</f>
        <v>0.5290230453138194</v>
      </c>
      <c r="H27">
        <f>SUM(H25:H26)</f>
        <v>0.5010837344426052</v>
      </c>
      <c r="L27" s="198" t="s">
        <v>104</v>
      </c>
      <c r="M27" s="198">
        <f>0.5/C6+0.5/D6</f>
        <v>0.001647457627118644</v>
      </c>
      <c r="N27" s="198">
        <f>0.5/E4+0.5/E5</f>
        <v>0.0034196453701097664</v>
      </c>
      <c r="O27" s="198"/>
    </row>
    <row r="28" spans="6:15" ht="12.75">
      <c r="F28" t="s">
        <v>101</v>
      </c>
      <c r="G28">
        <f>G27^2</f>
        <v>0.2798653824731074</v>
      </c>
      <c r="H28">
        <f>H27^2</f>
        <v>0.2510849089229473</v>
      </c>
      <c r="L28" s="198" t="s">
        <v>112</v>
      </c>
      <c r="M28" s="202">
        <f>M13+M27</f>
        <v>0.04067542204694875</v>
      </c>
      <c r="N28" s="202">
        <f>N13+N27</f>
        <v>0.08443040742928426</v>
      </c>
      <c r="O28" s="198"/>
    </row>
    <row r="29" spans="2:15" ht="12.75">
      <c r="B29" t="s">
        <v>257</v>
      </c>
      <c r="C29">
        <f>C25/(C$23*$E21)</f>
        <v>0.20520288199307957</v>
      </c>
      <c r="D29">
        <f>D25/(D$23*$E21)</f>
        <v>0.011755684094277487</v>
      </c>
      <c r="L29" s="264" t="s">
        <v>105</v>
      </c>
      <c r="M29" s="202">
        <f>M14</f>
        <v>-0.12043389830508473</v>
      </c>
      <c r="N29" s="202">
        <f>N14</f>
        <v>-0.24998592738530817</v>
      </c>
      <c r="O29" s="198"/>
    </row>
    <row r="30" spans="3:15" ht="12.75">
      <c r="C30">
        <f>C26/(C$23*$E22)</f>
        <v>0.358176295149287</v>
      </c>
      <c r="D30">
        <f>D26/(D$23*$E22)</f>
        <v>0.5145604148264571</v>
      </c>
      <c r="L30" s="198" t="s">
        <v>168</v>
      </c>
      <c r="M30" s="202">
        <f>M29-M28</f>
        <v>-0.16110932035203349</v>
      </c>
      <c r="N30" s="202">
        <f>N29-N28</f>
        <v>-0.33441633481459243</v>
      </c>
      <c r="O30" s="198"/>
    </row>
    <row r="31" spans="2:15" ht="12.75">
      <c r="B31" t="s">
        <v>61</v>
      </c>
      <c r="C31">
        <f>SUM(C29:D30)*4</f>
        <v>4.3587811042524045</v>
      </c>
      <c r="F31">
        <v>4</v>
      </c>
      <c r="G31" t="s">
        <v>101</v>
      </c>
      <c r="L31" s="198" t="s">
        <v>169</v>
      </c>
      <c r="M31" s="202">
        <f>M29+M28</f>
        <v>-0.07975847625813598</v>
      </c>
      <c r="N31" s="202">
        <f>N29+N28</f>
        <v>-0.1655555199560239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0.5440583035277208</v>
      </c>
      <c r="D33">
        <f>H$28/D$19</f>
        <v>0.5170646853243746</v>
      </c>
      <c r="L33" s="198" t="s">
        <v>170</v>
      </c>
      <c r="M33" s="202"/>
      <c r="N33" s="202">
        <f>-SIGN(M30)*SQRT(M30*N30)</f>
        <v>0.23211546354475623</v>
      </c>
      <c r="O33" s="198"/>
    </row>
    <row r="34" spans="12:15" ht="12.75">
      <c r="L34" s="198"/>
      <c r="M34" s="202"/>
      <c r="N34" s="202">
        <f>-SIGN(M31)*SQRT(M31*N31)</f>
        <v>0.11491064357933033</v>
      </c>
      <c r="O34" s="198"/>
    </row>
    <row r="35" spans="2:15" ht="12.75">
      <c r="B35" t="s">
        <v>63</v>
      </c>
      <c r="C35">
        <f>SUM(C33:D34)*3</f>
        <v>3.1833689665562863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0.058602409982712975</v>
      </c>
      <c r="O36" s="198">
        <f>N36/M2</f>
        <v>0.029899782455540258</v>
      </c>
    </row>
    <row r="37" ht="12.75">
      <c r="C37">
        <f>$J25/$E17</f>
        <v>0.1964985241754826</v>
      </c>
    </row>
    <row r="38" spans="3:12" ht="12.75">
      <c r="C38">
        <f>$J26/$E18</f>
        <v>0.868527878656405</v>
      </c>
      <c r="L38" t="s">
        <v>173</v>
      </c>
    </row>
    <row r="39" spans="2:12" ht="12.75">
      <c r="B39" t="s">
        <v>104</v>
      </c>
      <c r="C39">
        <f>SUM(C37:D38)*3</f>
        <v>3.195079208495663</v>
      </c>
      <c r="F39">
        <v>3</v>
      </c>
      <c r="L39" t="s">
        <v>174</v>
      </c>
    </row>
    <row r="41" spans="3:12" ht="12.75">
      <c r="C41">
        <f>(C17/(C$19*$E17))*$I25*G$27</f>
        <v>0.12438258654078353</v>
      </c>
      <c r="D41">
        <f>(D17/(D$19*$E17))*$I25*H$27</f>
        <v>0.046297703598506185</v>
      </c>
      <c r="L41" t="s">
        <v>260</v>
      </c>
    </row>
    <row r="42" spans="3:4" ht="12.75">
      <c r="C42">
        <f>(C18/(C$19*$E18))*$I26*G$27</f>
        <v>0.4261418384014395</v>
      </c>
      <c r="D42">
        <f>(D18/(D$19*$E18))*$I26*H$27</f>
        <v>0.46427903051913993</v>
      </c>
    </row>
    <row r="43" spans="2:7" ht="12.75">
      <c r="B43" t="s">
        <v>105</v>
      </c>
      <c r="C43">
        <f>SUM(C41:D42)*2</f>
        <v>2.1222023181197383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0.10253524732019326</v>
      </c>
      <c r="D46" s="198">
        <f>C46/E6</f>
        <v>8.439115005777222E-05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0.3202112542060214</v>
      </c>
      <c r="D47" s="198">
        <f>IF(D46&lt;0,0,SQRT(D46))</f>
        <v>0.00918646559117119</v>
      </c>
      <c r="E47" s="198" t="s">
        <v>110</v>
      </c>
      <c r="F47" s="198">
        <f>M2*D47</f>
        <v>0.01800511504277339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D47/(2*H15)</f>
        <v>0.0264719725766522</v>
      </c>
      <c r="E49" s="198"/>
      <c r="F49" s="198">
        <f>M2*D49</f>
        <v>0.05188403602249809</v>
      </c>
      <c r="G49" s="198" t="b">
        <f>F49&lt;H15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48" sqref="A48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homogeneity'!B12</f>
        <v>355</v>
      </c>
      <c r="D4" s="266">
        <f>'2x2 homogeneity'!C12</f>
        <v>200</v>
      </c>
      <c r="E4" s="35">
        <f>SUM(C4:D4)</f>
        <v>555</v>
      </c>
      <c r="G4" s="10"/>
    </row>
    <row r="5" spans="1:5" ht="12.75">
      <c r="A5" s="269"/>
      <c r="B5" s="34" t="s">
        <v>64</v>
      </c>
      <c r="C5" s="267">
        <f>'2x2 homogeneity'!B13</f>
        <v>2798</v>
      </c>
      <c r="D5" s="186">
        <f>'2x2 homogeneity'!C13</f>
        <v>2723</v>
      </c>
      <c r="E5" s="36">
        <f>SUM(C5:D5)</f>
        <v>5521</v>
      </c>
    </row>
    <row r="6" spans="2:5" ht="12.75">
      <c r="B6" s="37" t="s">
        <v>91</v>
      </c>
      <c r="C6" s="38">
        <f>SUM(C4:C5)</f>
        <v>3153</v>
      </c>
      <c r="D6" s="39">
        <f>SUM(D4:D5)</f>
        <v>2923</v>
      </c>
      <c r="E6" s="40">
        <f>SUM(E4:E5)</f>
        <v>6076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0.09134298880842659</v>
      </c>
      <c r="N9" s="202">
        <f>C6/E6</f>
        <v>0.5189269256089533</v>
      </c>
      <c r="O9" s="198"/>
      <c r="R9" s="15" t="s">
        <v>53</v>
      </c>
      <c r="S9" s="17">
        <f>M10</f>
        <v>0.11259118300031716</v>
      </c>
      <c r="T9" s="17">
        <f>M11</f>
        <v>0.06842285323297982</v>
      </c>
      <c r="U9" s="15"/>
      <c r="V9" s="17">
        <f>N10</f>
        <v>0.6396396396396397</v>
      </c>
      <c r="W9" s="17">
        <f>N11</f>
        <v>0.506792247781199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0.11259118300031716</v>
      </c>
      <c r="N10" s="202">
        <f>C4/E4</f>
        <v>0.6396396396396397</v>
      </c>
      <c r="O10" s="198"/>
      <c r="R10" s="15" t="s">
        <v>72</v>
      </c>
      <c r="S10" s="17">
        <f>L2/C6</f>
        <v>0.00121834929844753</v>
      </c>
      <c r="T10" s="17">
        <f>L2/D6</f>
        <v>0.0013142166739668361</v>
      </c>
      <c r="U10" s="17"/>
      <c r="V10" s="17">
        <f>L2/E4</f>
        <v>0.00692154114955867</v>
      </c>
      <c r="W10" s="17">
        <f>L2/E5</f>
        <v>0.0006957897732304042</v>
      </c>
    </row>
    <row r="11" spans="1:23" ht="12.75">
      <c r="A11" s="30"/>
      <c r="B11" s="34" t="str">
        <f>$B$4</f>
        <v>b</v>
      </c>
      <c r="C11" s="187">
        <f>$E4*C$6/$E$6</f>
        <v>288.0044437129691</v>
      </c>
      <c r="D11" s="188">
        <f>$E4*D$6/$E$6</f>
        <v>266.9955562870309</v>
      </c>
      <c r="F11" s="43"/>
      <c r="G11" s="189">
        <f>(C4-C11)^2/C11</f>
        <v>15.584497601300768</v>
      </c>
      <c r="H11" s="189">
        <f>(D4-D11)^2/D11</f>
        <v>16.810783762196827</v>
      </c>
      <c r="L11" s="198" t="s">
        <v>57</v>
      </c>
      <c r="M11" s="202">
        <f>D4/D6</f>
        <v>0.06842285323297982</v>
      </c>
      <c r="N11" s="202">
        <f>C5/E5</f>
        <v>0.506792247781199</v>
      </c>
      <c r="O11" s="198"/>
      <c r="R11" s="15" t="s">
        <v>73</v>
      </c>
      <c r="S11" s="17">
        <f>(S9+S10/2)/(1+S10)</f>
        <v>0.11306260790052468</v>
      </c>
      <c r="T11" s="17">
        <f>(T9+T10/2)/(1+T10)</f>
        <v>0.06898929468855833</v>
      </c>
      <c r="U11" s="17"/>
      <c r="V11" s="17">
        <f>(N10+V10/2)/(1+V10)</f>
        <v>0.6386797619606183</v>
      </c>
      <c r="W11" s="17">
        <f>(W9+W10/2)/(1+W10)</f>
        <v>0.5067875250906554</v>
      </c>
    </row>
    <row r="12" spans="1:23" ht="12.75">
      <c r="A12" s="30"/>
      <c r="B12" s="34" t="str">
        <f>$B$5</f>
        <v>¬b</v>
      </c>
      <c r="C12" s="190">
        <f>$E5*C$6/$E$6</f>
        <v>2864.995556287031</v>
      </c>
      <c r="D12" s="191">
        <f>$E5*D$6/$E$6</f>
        <v>2656.004443712969</v>
      </c>
      <c r="F12" s="43"/>
      <c r="G12" s="189">
        <f>(C5-C12)^2/C12</f>
        <v>1.5666357849523505</v>
      </c>
      <c r="H12" s="189">
        <f>(D5-D12)^2/D12</f>
        <v>1.6899085288931786</v>
      </c>
      <c r="L12" s="198" t="s">
        <v>109</v>
      </c>
      <c r="M12" s="202">
        <f>SQRT(M9*(1-M9)*(1/C6+1/D6))</f>
        <v>0.007397246473667528</v>
      </c>
      <c r="N12" s="202">
        <f>SQRT(N9*(1-N9)*(1/E4+1/E5))</f>
        <v>0.022249084494190947</v>
      </c>
      <c r="O12" s="198"/>
      <c r="R12" s="15" t="s">
        <v>129</v>
      </c>
      <c r="S12" s="17">
        <f>$M$2*SQRT((S9*(1-S9)+S10/4)/C6)/(1+S10)</f>
        <v>0.01103650808349402</v>
      </c>
      <c r="T12" s="17">
        <f>$M$2*SQRT((T9*(1-T9)+T10/4)/D6)/(1+T10)</f>
        <v>0.009164084241744414</v>
      </c>
      <c r="U12" s="17"/>
      <c r="V12" s="17">
        <f>$M$2*SQRT((V9*(1-V9)+V10/4)/E4)/(1+V10)</f>
        <v>0.03981672786140863</v>
      </c>
      <c r="W12" s="17">
        <f>$M$2*SQRT((W9*(1-W9)+W10/4)/E5)/(1+W10)</f>
        <v>0.013183098425589434</v>
      </c>
    </row>
    <row r="13" spans="1:23" ht="12.75">
      <c r="A13" s="30"/>
      <c r="C13" s="46"/>
      <c r="D13" s="46"/>
      <c r="F13" s="47" t="s">
        <v>91</v>
      </c>
      <c r="G13" s="48">
        <f>SUM(G11:H12)</f>
        <v>35.651825677343126</v>
      </c>
      <c r="H13" s="49"/>
      <c r="L13" s="198" t="s">
        <v>112</v>
      </c>
      <c r="M13" s="202">
        <f>$M2*M12</f>
        <v>0.014498315204722096</v>
      </c>
      <c r="N13" s="202">
        <f>$M2*N12</f>
        <v>0.04360733972587831</v>
      </c>
      <c r="O13" s="198"/>
      <c r="R13" s="15" t="s">
        <v>76</v>
      </c>
      <c r="S13" s="17">
        <f>S11-S12</f>
        <v>0.10202609981703066</v>
      </c>
      <c r="T13" s="17">
        <f>T11-T12</f>
        <v>0.059825210446813916</v>
      </c>
      <c r="U13" s="17"/>
      <c r="V13" s="17">
        <f>V11-V12</f>
        <v>0.5988630340992096</v>
      </c>
      <c r="W13" s="17">
        <f>W11-W12</f>
        <v>0.49360442666506593</v>
      </c>
    </row>
    <row r="14" spans="1:23" ht="12.75">
      <c r="A14" s="50"/>
      <c r="F14" s="43" t="s">
        <v>98</v>
      </c>
      <c r="G14" s="51">
        <f>CHIDIST(G13,1)</f>
        <v>2.3592667555057436E-09</v>
      </c>
      <c r="H14" s="49" t="str">
        <f>IF((G14&lt;0.05),"s","ns")</f>
        <v>s</v>
      </c>
      <c r="L14" s="264" t="s">
        <v>105</v>
      </c>
      <c r="M14" s="202">
        <f>M11-M10</f>
        <v>-0.04416832976733734</v>
      </c>
      <c r="N14" s="202">
        <f>N11-N10</f>
        <v>-0.13284739185844063</v>
      </c>
      <c r="O14" s="198"/>
      <c r="R14" s="15" t="s">
        <v>75</v>
      </c>
      <c r="S14" s="17">
        <f>S11+S12</f>
        <v>0.1240991159840187</v>
      </c>
      <c r="T14" s="17">
        <f>T11+T12</f>
        <v>0.07815337893030275</v>
      </c>
      <c r="U14" s="17"/>
      <c r="V14" s="17">
        <f>V11+V12</f>
        <v>0.6784964898220269</v>
      </c>
      <c r="W14" s="17">
        <f>W11+W12</f>
        <v>0.5199706235162448</v>
      </c>
    </row>
    <row r="15" spans="6:23" ht="12.75">
      <c r="F15" s="43" t="s">
        <v>99</v>
      </c>
      <c r="G15" s="192">
        <f>(C4*D5-C5*D4)/SQRT(E4*E5*C6*D6)</f>
        <v>0.07660057057446955</v>
      </c>
      <c r="H15" s="49"/>
      <c r="L15" s="198" t="s">
        <v>168</v>
      </c>
      <c r="M15" s="202">
        <f>M14-M13</f>
        <v>-0.05866664497205944</v>
      </c>
      <c r="N15" s="202">
        <f>N14-N13</f>
        <v>-0.17645473158431896</v>
      </c>
      <c r="O15" s="198"/>
      <c r="R15" s="15" t="s">
        <v>160</v>
      </c>
      <c r="S15" s="17">
        <f>M10-S13</f>
        <v>0.0105650831832865</v>
      </c>
      <c r="T15" s="17">
        <f>M11-T13</f>
        <v>0.008597642786165906</v>
      </c>
      <c r="U15" s="17"/>
      <c r="V15" s="17">
        <f>N10-V13</f>
        <v>0.040776605540430055</v>
      </c>
      <c r="W15" s="17">
        <f>N11-W13</f>
        <v>0.013187821116133092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J16" s="12"/>
      <c r="L16" s="198" t="s">
        <v>169</v>
      </c>
      <c r="M16" s="202">
        <f>M14+M13</f>
        <v>-0.02967001456261524</v>
      </c>
      <c r="N16" s="202">
        <f>N14+N13</f>
        <v>-0.08924005213256232</v>
      </c>
      <c r="O16" s="198"/>
      <c r="R16" s="15" t="s">
        <v>159</v>
      </c>
      <c r="S16" s="17">
        <f>S14-M10</f>
        <v>0.011507932983701535</v>
      </c>
      <c r="T16" s="17">
        <f>T14-M11</f>
        <v>0.009730525697322925</v>
      </c>
      <c r="U16" s="17"/>
      <c r="V16" s="17">
        <f>V14-N10</f>
        <v>0.03885685018238727</v>
      </c>
      <c r="W16" s="17">
        <f>W14-N11</f>
        <v>0.013178375735045766</v>
      </c>
    </row>
    <row r="17" spans="2:23" ht="12.75">
      <c r="B17" t="s">
        <v>53</v>
      </c>
      <c r="C17">
        <f aca="true" t="shared" si="0" ref="C17:E19">C4/$E$6</f>
        <v>0.05842659644502962</v>
      </c>
      <c r="D17">
        <f t="shared" si="0"/>
        <v>0.032916392363396975</v>
      </c>
      <c r="E17">
        <f t="shared" si="0"/>
        <v>0.09134298880842659</v>
      </c>
      <c r="F17" t="s">
        <v>100</v>
      </c>
      <c r="G17">
        <f>C17/$E17*C$19</f>
        <v>0.331926231695817</v>
      </c>
      <c r="H17">
        <f>D17/$E17*D$19</f>
        <v>0.17335966644722406</v>
      </c>
      <c r="I17">
        <f>SUM(G17:H17)</f>
        <v>0.505285898143041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-0.014363290466185839</v>
      </c>
      <c r="U17" s="17"/>
      <c r="V17" s="17"/>
      <c r="W17" s="17">
        <f>-SQRT(V15^2+W16^2)</f>
        <v>-0.04285325129338349</v>
      </c>
    </row>
    <row r="18" spans="3:23" ht="12.75">
      <c r="C18">
        <f t="shared" si="0"/>
        <v>0.46050032916392364</v>
      </c>
      <c r="D18">
        <f t="shared" si="0"/>
        <v>0.44815668202764974</v>
      </c>
      <c r="E18">
        <f t="shared" si="0"/>
        <v>0.9086570111915734</v>
      </c>
      <c r="G18">
        <f>C18/$E18*C$19</f>
        <v>0.26298814306354845</v>
      </c>
      <c r="H18">
        <f>D18/$E18*D$19</f>
        <v>0.23726896967339617</v>
      </c>
      <c r="I18">
        <f>SUM(G18:H18)</f>
        <v>0.5002571127369446</v>
      </c>
      <c r="L18" s="198" t="s">
        <v>170</v>
      </c>
      <c r="M18" s="202"/>
      <c r="N18" s="202">
        <f>-SIGN(M15)*SQRT(M15*N15)</f>
        <v>0.10174481358525005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0.014364956771110602</v>
      </c>
      <c r="U18" s="17"/>
      <c r="V18" s="17"/>
      <c r="W18" s="17">
        <f>SQRT(V16^2+W15^2)</f>
        <v>0.04103380840097121</v>
      </c>
    </row>
    <row r="19" spans="3:23" ht="12.75">
      <c r="C19">
        <f t="shared" si="0"/>
        <v>0.5189269256089533</v>
      </c>
      <c r="D19">
        <f t="shared" si="0"/>
        <v>0.48107307439104674</v>
      </c>
      <c r="E19">
        <f t="shared" si="0"/>
        <v>1</v>
      </c>
      <c r="G19">
        <f>SUM(G17:G18)</f>
        <v>0.5949143747593655</v>
      </c>
      <c r="H19">
        <f>SUM(H17:H18)</f>
        <v>0.4106286361206202</v>
      </c>
      <c r="L19" s="198"/>
      <c r="M19" s="202"/>
      <c r="N19" s="202">
        <f>-SIGN(M16)*SQRT(M16*N16)</f>
        <v>0.05145632756368907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-0.029805039301151498</v>
      </c>
      <c r="U20" s="17"/>
      <c r="V20" s="17"/>
      <c r="W20" s="17">
        <f>N14-W17</f>
        <v>-0.08999414056505714</v>
      </c>
    </row>
    <row r="21" spans="2:23" ht="12.75">
      <c r="B21" s="249" t="s">
        <v>255</v>
      </c>
      <c r="C21">
        <f aca="true" t="shared" si="1" ref="C21:E23">C17*C17</f>
        <v>0.003413667172150348</v>
      </c>
      <c r="D21">
        <f t="shared" si="1"/>
        <v>0.0010834888862210987</v>
      </c>
      <c r="E21">
        <f t="shared" si="1"/>
        <v>0.008343541604456346</v>
      </c>
      <c r="G21">
        <f>C21/$E21*C$23</f>
        <v>0.11017502328778517</v>
      </c>
      <c r="H21">
        <f>D21/$E21*D$23</f>
        <v>0.03005357395069279</v>
      </c>
      <c r="I21">
        <f>SUM(G21:H21)</f>
        <v>0.14022859723847797</v>
      </c>
      <c r="L21" s="198"/>
      <c r="M21" s="198"/>
      <c r="N21" s="202">
        <f>G15-N19</f>
        <v>0.025144243010780477</v>
      </c>
      <c r="O21" s="198">
        <f>N21/M2</f>
        <v>0.01282895014476963</v>
      </c>
      <c r="R21" s="15" t="s">
        <v>176</v>
      </c>
      <c r="S21" s="15"/>
      <c r="T21" s="17">
        <f>M14-T18</f>
        <v>-0.05853328653844794</v>
      </c>
      <c r="U21" s="17"/>
      <c r="V21" s="17"/>
      <c r="W21" s="17">
        <f>N14-W18</f>
        <v>-0.17388120025941184</v>
      </c>
    </row>
    <row r="22" spans="3:23" ht="12.75">
      <c r="C22">
        <f t="shared" si="1"/>
        <v>0.21206055316008202</v>
      </c>
      <c r="D22">
        <f t="shared" si="1"/>
        <v>0.20084441164603195</v>
      </c>
      <c r="E22">
        <f t="shared" si="1"/>
        <v>0.8256575639876031</v>
      </c>
      <c r="G22">
        <f>C22/$E22*C$23</f>
        <v>0.06916276339201347</v>
      </c>
      <c r="H22">
        <f>D22/$E22*D$23</f>
        <v>0.05629656396987498</v>
      </c>
      <c r="I22">
        <f>SUM(G22:H22)</f>
        <v>0.12545932736188845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0.26928515412196014</v>
      </c>
      <c r="D23">
        <f t="shared" si="1"/>
        <v>0.2314313029040536</v>
      </c>
      <c r="E23">
        <f t="shared" si="1"/>
        <v>1</v>
      </c>
      <c r="G23">
        <f>SUM(G21:G22)</f>
        <v>0.17933778667979863</v>
      </c>
      <c r="H23">
        <f>SUM(H21:H22)</f>
        <v>0.08635013792056777</v>
      </c>
      <c r="R23" s="15" t="s">
        <v>171</v>
      </c>
      <c r="S23" s="15"/>
      <c r="T23" s="17">
        <f>-SIGN(T21)*SQRT(T21*W21)</f>
        <v>0.10088527205907412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0.0517907221074864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0.00019944895426487384</v>
      </c>
      <c r="D25">
        <f t="shared" si="2"/>
        <v>3.566454530023367E-05</v>
      </c>
      <c r="E25">
        <f t="shared" si="2"/>
        <v>0.0007621240273984976</v>
      </c>
      <c r="F25" t="s">
        <v>102</v>
      </c>
      <c r="G25">
        <f>(C21/(C$19*$E17))</f>
        <v>0.07201778372092357</v>
      </c>
      <c r="H25">
        <f>(D21/(D$19*$E17))</f>
        <v>0.024656884047920664</v>
      </c>
      <c r="I25">
        <f>SUM(G25:H25)</f>
        <v>0.09667466776884423</v>
      </c>
      <c r="J25">
        <f>I25^2</f>
        <v>0.00934599138821641</v>
      </c>
      <c r="L25" s="198"/>
      <c r="M25" s="198" t="s">
        <v>172</v>
      </c>
      <c r="N25" s="198"/>
      <c r="O25" s="198"/>
    </row>
    <row r="26" spans="3:15" ht="12.75">
      <c r="C26">
        <f t="shared" si="2"/>
        <v>0.0976539545329015</v>
      </c>
      <c r="D26">
        <f t="shared" si="2"/>
        <v>0.09000976512708113</v>
      </c>
      <c r="E26">
        <f t="shared" si="2"/>
        <v>0.7502395343606907</v>
      </c>
      <c r="G26">
        <f>(C22/(C$19*$E18))</f>
        <v>0.449731909068124</v>
      </c>
      <c r="H26">
        <f>(D22/(D$19*$E18))</f>
        <v>0.459461070575366</v>
      </c>
      <c r="I26">
        <f>SUM(G26:H26)</f>
        <v>0.90919297964349</v>
      </c>
      <c r="J26">
        <f>I26^2</f>
        <v>0.8266318742330077</v>
      </c>
      <c r="L26" s="198"/>
      <c r="M26" s="198"/>
      <c r="N26" s="198"/>
      <c r="O26" s="198"/>
    </row>
    <row r="27" spans="3:15" ht="12.75">
      <c r="C27">
        <f t="shared" si="2"/>
        <v>0.13973931714064192</v>
      </c>
      <c r="D27">
        <f t="shared" si="2"/>
        <v>0.11133536839837864</v>
      </c>
      <c r="E27">
        <f t="shared" si="2"/>
        <v>1</v>
      </c>
      <c r="G27">
        <f>SUM(G25:G26)</f>
        <v>0.5217496927890476</v>
      </c>
      <c r="H27">
        <f>SUM(H25:H26)</f>
        <v>0.48411795462328666</v>
      </c>
      <c r="L27" s="198" t="s">
        <v>104</v>
      </c>
      <c r="M27" s="198">
        <f>0.5/C6+0.5/D6</f>
        <v>0.00032963626406881175</v>
      </c>
      <c r="N27" s="198">
        <f>0.5/E4+0.5/E5</f>
        <v>0.0009914642046502217</v>
      </c>
      <c r="O27" s="198"/>
    </row>
    <row r="28" spans="6:15" ht="12.75">
      <c r="F28" t="s">
        <v>101</v>
      </c>
      <c r="G28">
        <f>G27^2</f>
        <v>0.27222274192546553</v>
      </c>
      <c r="H28">
        <f>H27^2</f>
        <v>0.23437019398863465</v>
      </c>
      <c r="L28" s="198" t="s">
        <v>112</v>
      </c>
      <c r="M28" s="202">
        <f>M13+M27</f>
        <v>0.014827951468790908</v>
      </c>
      <c r="N28" s="202">
        <f>N13+N27</f>
        <v>0.044598803930528536</v>
      </c>
      <c r="O28" s="198"/>
    </row>
    <row r="29" spans="2:15" ht="12.75">
      <c r="B29" t="s">
        <v>257</v>
      </c>
      <c r="C29">
        <f>C25/(C$23*$E21)</f>
        <v>0.08877055121554918</v>
      </c>
      <c r="D29">
        <f>D25/(D$23*$E21)</f>
        <v>0.01846988346234012</v>
      </c>
      <c r="L29" s="264" t="s">
        <v>105</v>
      </c>
      <c r="M29" s="202">
        <f>M14</f>
        <v>-0.04416832976733734</v>
      </c>
      <c r="N29" s="202">
        <f>N14</f>
        <v>-0.13284739185844063</v>
      </c>
      <c r="O29" s="198"/>
    </row>
    <row r="30" spans="3:15" ht="12.75">
      <c r="C30">
        <f>C26/(C$23*$E22)</f>
        <v>0.4392152995879001</v>
      </c>
      <c r="D30">
        <f>D26/(D$23*$E22)</f>
        <v>0.47105060314873765</v>
      </c>
      <c r="L30" s="198" t="s">
        <v>168</v>
      </c>
      <c r="M30" s="202">
        <f>M29-M28</f>
        <v>-0.05899628123612825</v>
      </c>
      <c r="N30" s="202">
        <f>N29-N28</f>
        <v>-0.17744619578896917</v>
      </c>
      <c r="O30" s="198"/>
    </row>
    <row r="31" spans="2:15" ht="12.75">
      <c r="B31" t="s">
        <v>61</v>
      </c>
      <c r="C31">
        <f>SUM(C29:D30)*4</f>
        <v>4.070025349658108</v>
      </c>
      <c r="F31">
        <v>4</v>
      </c>
      <c r="G31" t="s">
        <v>101</v>
      </c>
      <c r="L31" s="198" t="s">
        <v>169</v>
      </c>
      <c r="M31" s="202">
        <f>M29+M28</f>
        <v>-0.02934037829854643</v>
      </c>
      <c r="N31" s="202">
        <f>N29+N28</f>
        <v>-0.0882485879279121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0.5245878147602692</v>
      </c>
      <c r="D33">
        <f>H$28/D$19</f>
        <v>0.4871821069705591</v>
      </c>
      <c r="L33" s="198" t="s">
        <v>170</v>
      </c>
      <c r="M33" s="202"/>
      <c r="N33" s="202">
        <f>-SIGN(M30)*SQRT(M30*N30)</f>
        <v>0.10231649755072297</v>
      </c>
      <c r="O33" s="198"/>
    </row>
    <row r="34" spans="12:15" ht="12.75">
      <c r="L34" s="198"/>
      <c r="M34" s="202"/>
      <c r="N34" s="202">
        <f>-SIGN(M31)*SQRT(M31*N31)</f>
        <v>0.05088464359821614</v>
      </c>
      <c r="O34" s="198"/>
    </row>
    <row r="35" spans="2:15" ht="12.75">
      <c r="B35" t="s">
        <v>63</v>
      </c>
      <c r="C35">
        <f>SUM(C33:D34)*3</f>
        <v>3.0353097651924847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0.02571592697625341</v>
      </c>
      <c r="O36" s="198">
        <f>N36/M2</f>
        <v>0.013120631428969437</v>
      </c>
    </row>
    <row r="37" ht="12.75">
      <c r="C37">
        <f>$J25/$E17</f>
        <v>0.10231755617081606</v>
      </c>
    </row>
    <row r="38" spans="3:12" ht="12.75">
      <c r="C38">
        <f>$J26/$E18</f>
        <v>0.9097292642346957</v>
      </c>
      <c r="L38" t="s">
        <v>173</v>
      </c>
    </row>
    <row r="39" spans="2:12" ht="12.75">
      <c r="B39" t="s">
        <v>104</v>
      </c>
      <c r="C39">
        <f>SUM(C37:D38)*3</f>
        <v>3.0361404612165352</v>
      </c>
      <c r="F39">
        <v>3</v>
      </c>
      <c r="L39" t="s">
        <v>174</v>
      </c>
    </row>
    <row r="41" spans="3:12" ht="12.75">
      <c r="C41">
        <f>(C17/(C$19*$E17))*$I25*G$27</f>
        <v>0.06217331938807603</v>
      </c>
      <c r="D41">
        <f>(D17/(D$19*$E17))*$I25*H$27</f>
        <v>0.03505821825275975</v>
      </c>
      <c r="L41" t="s">
        <v>260</v>
      </c>
    </row>
    <row r="42" spans="3:4" ht="12.75">
      <c r="C42">
        <f>(C18/(C$19*$E18))*$I26*G$27</f>
        <v>0.46327837984027015</v>
      </c>
      <c r="D42">
        <f>(D18/(D$19*$E18))*$I26*H$27</f>
        <v>0.4512592397866814</v>
      </c>
    </row>
    <row r="43" spans="2:7" ht="12.75">
      <c r="B43" t="s">
        <v>105</v>
      </c>
      <c r="C43">
        <f>SUM(C41:D42)*2</f>
        <v>2.0235383145355748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0.022113437784662793</v>
      </c>
      <c r="D46" s="198">
        <f>C46/E6</f>
        <v>3.639472973117642E-06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0.14870587676572433</v>
      </c>
      <c r="D47" s="198">
        <f>IF(D46&lt;0,0,SQRT(D46))</f>
        <v>0.0019077402792617348</v>
      </c>
      <c r="E47" s="198" t="s">
        <v>110</v>
      </c>
      <c r="F47" s="198">
        <f>M2*D47</f>
        <v>0.0037390967025285487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D47/(2*G15)</f>
        <v>0.01245252003317043</v>
      </c>
      <c r="E49" s="198"/>
      <c r="F49" s="198">
        <f>M2*D49</f>
        <v>0.02440645464183242</v>
      </c>
      <c r="G49" s="198" t="b">
        <f>F49&lt;G15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2011-05-05T14:47:00Z</dcterms:created>
  <dcterms:modified xsi:type="dcterms:W3CDTF">2015-05-22T10:49:06Z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