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2" yWindow="32767" windowWidth="12600" windowHeight="13212" activeTab="0"/>
  </bookViews>
  <sheets>
    <sheet name="standard" sheetId="1" r:id="rId1"/>
    <sheet name="row + total" sheetId="2" r:id="rId2"/>
    <sheet name="column + total" sheetId="3" r:id="rId3"/>
    <sheet name="known totals" sheetId="4" r:id="rId4"/>
  </sheets>
  <definedNames/>
  <calcPr fullCalcOnLoad="1"/>
</workbook>
</file>

<file path=xl/sharedStrings.xml><?xml version="1.0" encoding="utf-8"?>
<sst xmlns="http://schemas.openxmlformats.org/spreadsheetml/2006/main" count="979" uniqueCount="147">
  <si>
    <t>data</t>
  </si>
  <si>
    <t>a</t>
  </si>
  <si>
    <t>b</t>
  </si>
  <si>
    <t>dependent variable</t>
  </si>
  <si>
    <t>independent variable</t>
  </si>
  <si>
    <t>¬a</t>
  </si>
  <si>
    <t>¬b</t>
  </si>
  <si>
    <t>total</t>
  </si>
  <si>
    <t>chi-squares</t>
  </si>
  <si>
    <t>expected</t>
  </si>
  <si>
    <t>observed</t>
  </si>
  <si>
    <r>
      <t>c</t>
    </r>
    <r>
      <rPr>
        <b/>
        <sz val="10"/>
        <rFont val="Arial"/>
        <family val="2"/>
      </rPr>
      <t>²</t>
    </r>
  </si>
  <si>
    <t>sig level</t>
  </si>
  <si>
    <t>G²</t>
  </si>
  <si>
    <t>chi-square</t>
  </si>
  <si>
    <r>
      <t xml:space="preserve">¬ </t>
    </r>
    <r>
      <rPr>
        <b/>
        <sz val="10"/>
        <rFont val="Arial"/>
        <family val="2"/>
      </rPr>
      <t>Enter data in highlighted cells</t>
    </r>
  </si>
  <si>
    <t>Use this page if you know values for paired alternate queries, a/¬a, b/¬b.</t>
  </si>
  <si>
    <t>Comments</t>
  </si>
  <si>
    <t>2 x 2 chi-square</t>
  </si>
  <si>
    <t>Does the value of b affect the value of a?</t>
  </si>
  <si>
    <t>Does the value of b affect the choice of ¬a?</t>
  </si>
  <si>
    <t>Does the value of b affect the choice of a?</t>
  </si>
  <si>
    <t>chi-square with Yates' correction</t>
  </si>
  <si>
    <t>log-likelihood</t>
  </si>
  <si>
    <t>Basic chi-square</t>
  </si>
  <si>
    <t>The 2 x 2 Pearson's chi-square is one of the most under-rated of all statistical tests.</t>
  </si>
  <si>
    <t>Bin</t>
  </si>
  <si>
    <t>difference</t>
  </si>
  <si>
    <t>error (.05)</t>
  </si>
  <si>
    <t>error (.01)</t>
  </si>
  <si>
    <t xml:space="preserve">difference </t>
  </si>
  <si>
    <t>|o-e|</t>
  </si>
  <si>
    <t>Log-likelihood test</t>
  </si>
  <si>
    <r>
      <t xml:space="preserve">Cramer's </t>
    </r>
    <r>
      <rPr>
        <sz val="10"/>
        <rFont val="Symbol"/>
        <family val="1"/>
      </rPr>
      <t>f</t>
    </r>
  </si>
  <si>
    <t>Newcombe-Wilson test</t>
  </si>
  <si>
    <t>Wilson</t>
  </si>
  <si>
    <t>p</t>
  </si>
  <si>
    <t>z test</t>
  </si>
  <si>
    <t>z</t>
  </si>
  <si>
    <t>p'</t>
  </si>
  <si>
    <t>q</t>
  </si>
  <si>
    <t>upper</t>
  </si>
  <si>
    <t>lower</t>
  </si>
  <si>
    <t>mean</t>
  </si>
  <si>
    <t>z²/n</t>
  </si>
  <si>
    <t>probabilities</t>
  </si>
  <si>
    <t>For these tests we also report the binomial error margin. This test is significant if the difference exceeds the margin of error (chi-square is based on the z test).</t>
  </si>
  <si>
    <t>1)</t>
  </si>
  <si>
    <t>4)</t>
  </si>
  <si>
    <t>2)</t>
  </si>
  <si>
    <t>3)</t>
  </si>
  <si>
    <t>Goodness of fit against IV</t>
  </si>
  <si>
    <t>2 x 2</t>
  </si>
  <si>
    <t>z test for pop proportion</t>
  </si>
  <si>
    <r>
      <t xml:space="preserve">error =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.</t>
    </r>
    <r>
      <rPr>
        <sz val="10"/>
        <rFont val="Symbol"/>
        <family val="1"/>
      </rPr>
      <t>s</t>
    </r>
  </si>
  <si>
    <t>5)</t>
  </si>
  <si>
    <t>2-4p</t>
  </si>
  <si>
    <t>Wilson CC</t>
  </si>
  <si>
    <t>NW test, with CC</t>
  </si>
  <si>
    <t>z²-1/n+4npq</t>
  </si>
  <si>
    <t>2(n+z²)</t>
  </si>
  <si>
    <t>Note that we carry out five different sets of tests.</t>
  </si>
  <si>
    <r>
      <t xml:space="preserve">Yates' continuity-corrected </t>
    </r>
    <r>
      <rPr>
        <sz val="10"/>
        <rFont val="Symbol"/>
        <family val="1"/>
      </rPr>
      <t>c</t>
    </r>
    <r>
      <rPr>
        <sz val="10"/>
        <rFont val="Arial"/>
        <family val="0"/>
      </rPr>
      <t xml:space="preserve">² is </t>
    </r>
    <r>
      <rPr>
        <b/>
        <sz val="10"/>
        <rFont val="Arial"/>
        <family val="2"/>
      </rPr>
      <t>recommended</t>
    </r>
    <r>
      <rPr>
        <sz val="10"/>
        <rFont val="Arial"/>
        <family val="0"/>
      </rPr>
      <t>, and has the closest match to results obtained by Fisher's exact test. It is slightly conservative.</t>
    </r>
  </si>
  <si>
    <t>For most purposes the 2 x 2 chi-square test is appropriate, Yates' test is recommended.</t>
  </si>
  <si>
    <t>With continuity correction</t>
  </si>
  <si>
    <t xml:space="preserve">Advanced different pop. z test </t>
  </si>
  <si>
    <t xml:space="preserve">See </t>
  </si>
  <si>
    <t>Wilson error bar widths</t>
  </si>
  <si>
    <t>e'</t>
  </si>
  <si>
    <t>wd+</t>
  </si>
  <si>
    <t>wd-</t>
  </si>
  <si>
    <t>d = p(¬a)-p(a)</t>
  </si>
  <si>
    <t>p1 = p(a)</t>
  </si>
  <si>
    <t>p2 = p(¬a)</t>
  </si>
  <si>
    <t>Binomial</t>
  </si>
  <si>
    <t>2-tailed (0.05)</t>
  </si>
  <si>
    <t>2-tailed (0.01)</t>
  </si>
  <si>
    <t>Binomial test</t>
  </si>
  <si>
    <t>Exact' Binomial test</t>
  </si>
  <si>
    <t>6)</t>
  </si>
  <si>
    <t>Uses the cumulative Binomial</t>
  </si>
  <si>
    <t>Binomial area</t>
  </si>
  <si>
    <t>We also include the 'exact' Binomial test for comparison purposes.</t>
  </si>
  <si>
    <t>Since there is only one degree of freedom, there can be only one mathematical source of any significant result. It is therefore less ambiguous to interpret than multinomial tests.</t>
  </si>
  <si>
    <r>
      <t xml:space="preserve">s. dev.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Ö</t>
    </r>
    <r>
      <rPr>
        <i/>
        <sz val="10"/>
        <rFont val="Arial"/>
        <family val="2"/>
      </rPr>
      <t>nP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-1)</t>
    </r>
  </si>
  <si>
    <r>
      <t xml:space="preserve">where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 xml:space="preserve"> = 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(population prob)</t>
    </r>
  </si>
  <si>
    <t>d+</t>
  </si>
  <si>
    <t>d-</t>
  </si>
  <si>
    <t>NW</t>
  </si>
  <si>
    <t>NWcc</t>
  </si>
  <si>
    <t>difference d = p(¬a)-p(a)</t>
  </si>
  <si>
    <t>https://corplingstats.wordpress.com/2020/07/30/book</t>
  </si>
  <si>
    <r>
      <t xml:space="preserve">Wallis (2021), </t>
    </r>
    <r>
      <rPr>
        <i/>
        <sz val="10"/>
        <rFont val="Arial"/>
        <family val="2"/>
      </rPr>
      <t>Statistics in Corpus Linguistics Research</t>
    </r>
    <r>
      <rPr>
        <sz val="10"/>
        <rFont val="Arial"/>
        <family val="0"/>
      </rPr>
      <t>, New York: Routledge</t>
    </r>
  </si>
  <si>
    <r>
      <t xml:space="preserve">Wallis (2013),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 xml:space="preserve">-squared: The origin and application of </t>
    </r>
    <r>
      <rPr>
        <sz val="10"/>
        <rFont val="Symbol"/>
        <family val="1"/>
      </rPr>
      <t>c</t>
    </r>
    <r>
      <rPr>
        <sz val="10"/>
        <rFont val="Arial"/>
        <family val="0"/>
      </rPr>
      <t xml:space="preserve">², </t>
    </r>
    <r>
      <rPr>
        <i/>
        <sz val="10"/>
        <rFont val="Arial"/>
        <family val="2"/>
      </rPr>
      <t>JQL</t>
    </r>
    <r>
      <rPr>
        <sz val="10"/>
        <rFont val="Arial"/>
        <family val="0"/>
      </rPr>
      <t xml:space="preserve"> 20:4, 350-378</t>
    </r>
  </si>
  <si>
    <r>
      <t xml:space="preserve">Wallis (2013), Binomial confidence intervals and contingency tests, </t>
    </r>
    <r>
      <rPr>
        <i/>
        <sz val="10"/>
        <rFont val="Arial"/>
        <family val="2"/>
      </rPr>
      <t>JQL</t>
    </r>
    <r>
      <rPr>
        <sz val="10"/>
        <rFont val="Arial"/>
        <family val="0"/>
      </rPr>
      <t xml:space="preserve"> 20:3, 178-208</t>
    </r>
  </si>
  <si>
    <t>https://www.ucl.ac.uk/english-usage/statspapers/binomialpoisson.pdf</t>
  </si>
  <si>
    <t>https://www.ucl.ac.uk/english-usage/statspapers/z-squared.pdf</t>
  </si>
  <si>
    <t>Graphs, from left to right: Cell frequency graph, Binomial proportion difference graph (Wilson), and repositioned difference interval (NW, NWcc)</t>
  </si>
  <si>
    <t>d</t>
  </si>
  <si>
    <t>Repositioned NW interval</t>
  </si>
  <si>
    <t>ud+</t>
  </si>
  <si>
    <t>ud-</t>
  </si>
  <si>
    <t>Repositioned NW interval with CC</t>
  </si>
  <si>
    <t>Odds ratio</t>
  </si>
  <si>
    <t>odds</t>
  </si>
  <si>
    <t>ln</t>
  </si>
  <si>
    <t>p1</t>
  </si>
  <si>
    <t>p2</t>
  </si>
  <si>
    <t>odds ratio</t>
  </si>
  <si>
    <t>w-</t>
  </si>
  <si>
    <t>w+</t>
  </si>
  <si>
    <t>u</t>
  </si>
  <si>
    <t>L</t>
  </si>
  <si>
    <t>U</t>
  </si>
  <si>
    <t>CC</t>
  </si>
  <si>
    <t>o-</t>
  </si>
  <si>
    <t>o+</t>
  </si>
  <si>
    <t>d'</t>
  </si>
  <si>
    <t>z2/n</t>
  </si>
  <si>
    <t>zero-based</t>
  </si>
  <si>
    <t>p(a)</t>
  </si>
  <si>
    <r>
      <t>f</t>
    </r>
    <r>
      <rPr>
        <sz val="10"/>
        <rFont val="Arial"/>
        <family val="0"/>
      </rPr>
      <t>-</t>
    </r>
  </si>
  <si>
    <r>
      <t>f</t>
    </r>
    <r>
      <rPr>
        <sz val="10"/>
        <rFont val="Arial"/>
        <family val="0"/>
      </rPr>
      <t>+</t>
    </r>
  </si>
  <si>
    <r>
      <t xml:space="preserve">error level </t>
    </r>
    <r>
      <rPr>
        <sz val="10"/>
        <rFont val="Symbol"/>
        <family val="1"/>
      </rPr>
      <t>a</t>
    </r>
  </si>
  <si>
    <t>Transposed</t>
  </si>
  <si>
    <r>
      <t xml:space="preserve">Cramer's </t>
    </r>
    <r>
      <rPr>
        <b/>
        <sz val="10"/>
        <rFont val="Symbol"/>
        <family val="1"/>
      </rPr>
      <t>f</t>
    </r>
  </si>
  <si>
    <t>https://corplingstats.wordpress.com/2021/04/14/an-algebra-of-intervals</t>
  </si>
  <si>
    <t>Wallis (2021), An algebra of intervals. corp.ling.stats</t>
  </si>
  <si>
    <t>The first test is the conventional 2 x 2 chi-square, which tends to be the most sensitive (easiest to get a significant result) of the tests.</t>
  </si>
  <si>
    <t xml:space="preserve">The second and third test are single-choice 2 x 1 "goodness of fit" chi-squares for comparing a and ¬a with the "total" column. </t>
  </si>
  <si>
    <t>Despite its adherents, log-likelihood is outperformed by Yates test, so is not recommended.</t>
  </si>
  <si>
    <r>
      <t xml:space="preserve">Newcombe-Wilson tests perform in a closely comparable manner to 2 x 2 </t>
    </r>
    <r>
      <rPr>
        <sz val="10"/>
        <rFont val="Symbol"/>
        <family val="1"/>
      </rPr>
      <t>c</t>
    </r>
    <r>
      <rPr>
        <sz val="10"/>
        <rFont val="Arial"/>
        <family val="0"/>
      </rPr>
      <t xml:space="preserve">². Wilson tests perform </t>
    </r>
    <r>
      <rPr>
        <i/>
        <sz val="10"/>
        <rFont val="Arial"/>
        <family val="2"/>
      </rPr>
      <t>identically</t>
    </r>
    <r>
      <rPr>
        <sz val="10"/>
        <rFont val="Arial"/>
        <family val="0"/>
      </rPr>
      <t xml:space="preserve"> to goodness-of-fit.</t>
    </r>
  </si>
  <si>
    <r>
      <t xml:space="preserve">The Newcombe-Wilson test with continuity correction is </t>
    </r>
    <r>
      <rPr>
        <b/>
        <sz val="10"/>
        <rFont val="Arial"/>
        <family val="2"/>
      </rPr>
      <t>recommended</t>
    </r>
    <r>
      <rPr>
        <sz val="10"/>
        <rFont val="Arial"/>
        <family val="0"/>
      </rPr>
      <t>.</t>
    </r>
  </si>
  <si>
    <r>
      <t xml:space="preserve">We also compute signed Cramer's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and odds ratio, both with confidence intervals. These may be tested against 0 and 1 respectively.</t>
    </r>
  </si>
  <si>
    <t>delta</t>
  </si>
  <si>
    <r>
      <t xml:space="preserve">Wallis' </t>
    </r>
    <r>
      <rPr>
        <sz val="10"/>
        <rFont val="Symbol"/>
        <family val="1"/>
      </rPr>
      <t>f</t>
    </r>
    <r>
      <rPr>
        <sz val="7"/>
        <rFont val="Arial"/>
        <family val="2"/>
      </rPr>
      <t>p</t>
    </r>
  </si>
  <si>
    <r>
      <t xml:space="preserve">signed </t>
    </r>
    <r>
      <rPr>
        <sz val="10"/>
        <rFont val="Symbol"/>
        <family val="1"/>
      </rPr>
      <t>f</t>
    </r>
    <r>
      <rPr>
        <sz val="7"/>
        <rFont val="Arial"/>
        <family val="2"/>
      </rPr>
      <t>p</t>
    </r>
  </si>
  <si>
    <r>
      <t xml:space="preserve">Wallis </t>
    </r>
    <r>
      <rPr>
        <sz val="10"/>
        <rFont val="Symbol"/>
        <family val="1"/>
      </rPr>
      <t>f</t>
    </r>
    <r>
      <rPr>
        <sz val="7"/>
        <rFont val="Arial"/>
        <family val="2"/>
      </rPr>
      <t>p</t>
    </r>
  </si>
  <si>
    <r>
      <t xml:space="preserve">We report effect size </t>
    </r>
    <r>
      <rPr>
        <sz val="10"/>
        <rFont val="Symbol"/>
        <family val="1"/>
      </rPr>
      <t>f</t>
    </r>
    <r>
      <rPr>
        <sz val="7"/>
        <rFont val="Arial"/>
        <family val="2"/>
      </rPr>
      <t>p</t>
    </r>
    <r>
      <rPr>
        <sz val="10"/>
        <rFont val="Arial"/>
        <family val="0"/>
      </rPr>
      <t xml:space="preserve"> (0 = close fit), which for 2x1 tests can be reported as signed </t>
    </r>
    <r>
      <rPr>
        <sz val="10"/>
        <rFont val="Symbol"/>
        <family val="1"/>
      </rPr>
      <t>f</t>
    </r>
    <r>
      <rPr>
        <sz val="7"/>
        <rFont val="Arial"/>
        <family val="2"/>
      </rPr>
      <t>p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p</t>
    </r>
    <r>
      <rPr>
        <sz val="7"/>
        <rFont val="Arial"/>
        <family val="2"/>
      </rPr>
      <t>1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P</t>
    </r>
    <r>
      <rPr>
        <sz val="7"/>
        <rFont val="Arial"/>
        <family val="2"/>
      </rPr>
      <t>1</t>
    </r>
    <r>
      <rPr>
        <sz val="10"/>
        <rFont val="Arial"/>
        <family val="0"/>
      </rPr>
      <t xml:space="preserve"> with confidence intervals.</t>
    </r>
  </si>
  <si>
    <t>d%</t>
  </si>
  <si>
    <t>risk ratio</t>
  </si>
  <si>
    <t>risk (proportions)</t>
  </si>
  <si>
    <t>d%-</t>
  </si>
  <si>
    <t>d%+</t>
  </si>
  <si>
    <t>% diff</t>
  </si>
  <si>
    <t>repositioned</t>
  </si>
  <si>
    <r>
      <t xml:space="preserve">The main advantage of the Newcombe-Wilson test is it calculates accurate intervals about a difference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(so you can compare it with a non-zero difference </t>
    </r>
    <r>
      <rPr>
        <i/>
        <sz val="10"/>
        <rFont val="Arial"/>
        <family val="2"/>
      </rPr>
      <t>D</t>
    </r>
    <r>
      <rPr>
        <sz val="10"/>
        <rFont val="Arial"/>
        <family val="2"/>
      </rPr>
      <t>, etc.).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</si>
</sst>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"/>
    <numFmt numFmtId="165" formatCode="0.0000"/>
    <numFmt numFmtId="166" formatCode="0.00000000000000"/>
    <numFmt numFmtId="167" formatCode="0.000000000000000"/>
    <numFmt numFmtId="168" formatCode="0.0000000000000000"/>
    <numFmt numFmtId="169" formatCode="0.0"/>
    <numFmt numFmtId="170" formatCode="#,##0.0000000000000"/>
    <numFmt numFmtId="171" formatCode="_-* #,##0_-;\-* #,##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3.5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3.25"/>
      <color indexed="8"/>
      <name val="Arial"/>
      <family val="0"/>
    </font>
    <font>
      <sz val="10"/>
      <color indexed="8"/>
      <name val="Arial"/>
      <family val="0"/>
    </font>
    <font>
      <sz val="8.25"/>
      <color indexed="8"/>
      <name val="Arial"/>
      <family val="0"/>
    </font>
    <font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3" fillId="32" borderId="13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3" fillId="32" borderId="11" xfId="0" applyNumberFormat="1" applyFon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3" fillId="32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2" fontId="0" fillId="33" borderId="18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164" fontId="0" fillId="0" borderId="0" xfId="0" applyNumberFormat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165" fontId="0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165" fontId="0" fillId="33" borderId="19" xfId="0" applyNumberFormat="1" applyFill="1" applyBorder="1" applyAlignment="1">
      <alignment/>
    </xf>
    <xf numFmtId="165" fontId="0" fillId="33" borderId="14" xfId="0" applyNumberFormat="1" applyFill="1" applyBorder="1" applyAlignment="1">
      <alignment/>
    </xf>
    <xf numFmtId="165" fontId="0" fillId="33" borderId="18" xfId="0" applyNumberFormat="1" applyFont="1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165" fontId="0" fillId="0" borderId="0" xfId="0" applyNumberFormat="1" applyAlignment="1">
      <alignment/>
    </xf>
    <xf numFmtId="4" fontId="0" fillId="33" borderId="0" xfId="0" applyNumberFormat="1" applyFill="1" applyBorder="1" applyAlignment="1">
      <alignment/>
    </xf>
    <xf numFmtId="0" fontId="3" fillId="0" borderId="0" xfId="0" applyFont="1" applyAlignment="1">
      <alignment horizontal="left"/>
    </xf>
    <xf numFmtId="3" fontId="3" fillId="32" borderId="12" xfId="0" applyNumberFormat="1" applyFont="1" applyFill="1" applyBorder="1" applyAlignment="1">
      <alignment/>
    </xf>
    <xf numFmtId="3" fontId="3" fillId="32" borderId="19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165" fontId="0" fillId="33" borderId="18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33" borderId="13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2" xfId="0" applyFill="1" applyBorder="1" applyAlignment="1">
      <alignment/>
    </xf>
    <xf numFmtId="165" fontId="0" fillId="33" borderId="12" xfId="0" applyNumberForma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170" fontId="0" fillId="0" borderId="0" xfId="0" applyNumberFormat="1" applyAlignment="1">
      <alignment/>
    </xf>
    <xf numFmtId="165" fontId="0" fillId="33" borderId="12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3" fillId="32" borderId="14" xfId="0" applyNumberFormat="1" applyFont="1" applyFill="1" applyBorder="1" applyAlignment="1">
      <alignment/>
    </xf>
    <xf numFmtId="0" fontId="0" fillId="33" borderId="0" xfId="0" applyFill="1" applyAlignment="1" quotePrefix="1">
      <alignment/>
    </xf>
    <xf numFmtId="0" fontId="5" fillId="33" borderId="0" xfId="0" applyFont="1" applyFill="1" applyAlignment="1">
      <alignment/>
    </xf>
    <xf numFmtId="165" fontId="0" fillId="33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/>
    </xf>
    <xf numFmtId="165" fontId="0" fillId="0" borderId="14" xfId="0" applyNumberFormat="1" applyBorder="1" applyAlignment="1">
      <alignment/>
    </xf>
    <xf numFmtId="0" fontId="3" fillId="4" borderId="0" xfId="0" applyFont="1" applyFill="1" applyAlignment="1">
      <alignment/>
    </xf>
    <xf numFmtId="165" fontId="3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165" fontId="0" fillId="4" borderId="0" xfId="0" applyNumberFormat="1" applyFill="1" applyAlignment="1">
      <alignment/>
    </xf>
    <xf numFmtId="165" fontId="0" fillId="4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2" fontId="0" fillId="34" borderId="0" xfId="0" applyNumberFormat="1" applyFill="1" applyAlignment="1">
      <alignment/>
    </xf>
    <xf numFmtId="2" fontId="0" fillId="0" borderId="0" xfId="0" applyNumberFormat="1" applyFill="1" applyAlignment="1">
      <alignment/>
    </xf>
    <xf numFmtId="165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2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2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15"/>
          <c:y val="0.029"/>
          <c:w val="0.937"/>
          <c:h val="0.94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standard!$B$4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standard!$C$3:$D$3</c:f>
              <c:strCache/>
            </c:strRef>
          </c:cat>
          <c:val>
            <c:numRef>
              <c:f>standard!$C$4:$D$4</c:f>
              <c:numCache/>
            </c:numRef>
          </c:val>
          <c:shape val="box"/>
        </c:ser>
        <c:ser>
          <c:idx val="1"/>
          <c:order val="1"/>
          <c:tx>
            <c:strRef>
              <c:f>standard!$B$5</c:f>
              <c:strCache>
                <c:ptCount val="1"/>
                <c:pt idx="0">
                  <c:v>¬b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standard!$C$3:$D$3</c:f>
              <c:strCache/>
            </c:strRef>
          </c:cat>
          <c:val>
            <c:numRef>
              <c:f>standard!$C$5:$D$5</c:f>
              <c:numCache/>
            </c:numRef>
          </c:val>
          <c:shape val="box"/>
        </c:ser>
        <c:shape val="box"/>
        <c:axId val="18376095"/>
        <c:axId val="31167128"/>
        <c:axId val="12068697"/>
      </c:bar3DChart>
      <c:catAx>
        <c:axId val="18376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7128"/>
        <c:crosses val="autoZero"/>
        <c:auto val="1"/>
        <c:lblOffset val="100"/>
        <c:tickLblSkip val="1"/>
        <c:noMultiLvlLbl val="0"/>
      </c:catAx>
      <c:valAx>
        <c:axId val="31167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6095"/>
        <c:crossesAt val="1"/>
        <c:crossBetween val="between"/>
        <c:dispUnits/>
      </c:valAx>
      <c:serAx>
        <c:axId val="1206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712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325"/>
          <c:y val="0.02975"/>
          <c:w val="0.93375"/>
          <c:h val="0.94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'known totals'!$B$4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'known totals'!$C$3:$D$3</c:f>
              <c:strCache/>
            </c:strRef>
          </c:cat>
          <c:val>
            <c:numRef>
              <c:f>'known totals'!$C$4:$D$4</c:f>
              <c:numCache/>
            </c:numRef>
          </c:val>
          <c:shape val="box"/>
        </c:ser>
        <c:ser>
          <c:idx val="1"/>
          <c:order val="1"/>
          <c:tx>
            <c:strRef>
              <c:f>'known totals'!$B$5</c:f>
              <c:strCache>
                <c:ptCount val="1"/>
                <c:pt idx="0">
                  <c:v>¬b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'known totals'!$C$3:$D$3</c:f>
              <c:strCache/>
            </c:strRef>
          </c:cat>
          <c:val>
            <c:numRef>
              <c:f>'known totals'!$C$5:$D$5</c:f>
              <c:numCache/>
            </c:numRef>
          </c:val>
          <c:shape val="box"/>
        </c:ser>
        <c:shape val="box"/>
        <c:axId val="62104220"/>
        <c:axId val="22067069"/>
        <c:axId val="64385894"/>
      </c:bar3DChart>
      <c:catAx>
        <c:axId val="6210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7069"/>
        <c:crosses val="autoZero"/>
        <c:auto val="1"/>
        <c:lblOffset val="100"/>
        <c:tickLblSkip val="1"/>
        <c:noMultiLvlLbl val="0"/>
      </c:catAx>
      <c:valAx>
        <c:axId val="220670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4220"/>
        <c:crossesAt val="1"/>
        <c:crossBetween val="between"/>
        <c:dispUnits/>
      </c:valAx>
      <c:serAx>
        <c:axId val="6438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70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'known totals'!$Z$4:$AA$4</c:f>
                <c:numCache>
                  <c:ptCount val="2"/>
                  <c:pt idx="0">
                    <c:v>0.05515420978258595</c:v>
                  </c:pt>
                  <c:pt idx="1">
                    <c:v>0.04632998294601659</c:v>
                  </c:pt>
                </c:numCache>
              </c:numRef>
            </c:plus>
            <c:minus>
              <c:numRef>
                <c:f>'known totals'!$Z$5:$AA$5</c:f>
                <c:numCache>
                  <c:ptCount val="2"/>
                  <c:pt idx="0">
                    <c:v>0.05093988604107064</c:v>
                  </c:pt>
                  <c:pt idx="1">
                    <c:v>0.03790133546298596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'known totals'!$V$3:$W$3</c:f>
              <c:strCache/>
            </c:strRef>
          </c:cat>
          <c:val>
            <c:numRef>
              <c:f>'known totals'!$V$4:$W$4</c:f>
              <c:numCache/>
            </c:numRef>
          </c:val>
          <c:smooth val="0"/>
        </c:ser>
        <c:marker val="1"/>
        <c:axId val="42602135"/>
        <c:axId val="47874896"/>
      </c:line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74896"/>
        <c:crosses val="autoZero"/>
        <c:auto val="1"/>
        <c:lblOffset val="100"/>
        <c:tickLblSkip val="1"/>
        <c:noMultiLvlLbl val="0"/>
      </c:catAx>
      <c:valAx>
        <c:axId val="4787489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213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"/>
          <c:w val="0.9255"/>
          <c:h val="0.9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'known totals'!$AE$3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'known totals'!$AE$38</c:f>
                <c:numCache>
                  <c:ptCount val="1"/>
                  <c:pt idx="0">
                    <c:v>0.06885738384266026</c:v>
                  </c:pt>
                </c:numCache>
              </c:numRef>
            </c:plus>
            <c:minus>
              <c:numRef>
                <c:f>'known totals'!$AE$39</c:f>
                <c:numCache>
                  <c:ptCount val="1"/>
                  <c:pt idx="0">
                    <c:v>0.06692158162072452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'known totals'!$AE$2</c:f>
              <c:numCache/>
            </c:numRef>
          </c:cat>
          <c:val>
            <c:numRef>
              <c:f>'known totals'!$W$16</c:f>
              <c:numCache/>
            </c:numRef>
          </c:val>
        </c:ser>
        <c:ser>
          <c:idx val="1"/>
          <c:order val="1"/>
          <c:tx>
            <c:strRef>
              <c:f>'known totals'!$AF$3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'known totals'!$AF$38</c:f>
                <c:numCache>
                  <c:ptCount val="1"/>
                  <c:pt idx="0">
                    <c:v>0.07124420408873876</c:v>
                  </c:pt>
                </c:numCache>
              </c:numRef>
            </c:plus>
            <c:minus>
              <c:numRef>
                <c:f>'known totals'!$AF$39</c:f>
                <c:numCache>
                  <c:ptCount val="1"/>
                  <c:pt idx="0">
                    <c:v>0.06917015785333233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'known totals'!$AE$2</c:f>
              <c:numCache/>
            </c:numRef>
          </c:cat>
          <c:val>
            <c:numRef>
              <c:f>'known totals'!$AA$16</c:f>
              <c:numCache/>
            </c:numRef>
          </c:val>
        </c:ser>
        <c:axId val="28220881"/>
        <c:axId val="52661338"/>
      </c:bar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52661338"/>
        <c:crosses val="autoZero"/>
        <c:auto val="1"/>
        <c:lblOffset val="100"/>
        <c:tickLblSkip val="1"/>
        <c:noMultiLvlLbl val="0"/>
      </c:catAx>
      <c:valAx>
        <c:axId val="526613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2088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standard!$Z$4:$AA$4</c:f>
                <c:numCache>
                  <c:ptCount val="2"/>
                  <c:pt idx="0">
                    <c:v>0.05515420978258595</c:v>
                  </c:pt>
                  <c:pt idx="1">
                    <c:v>0.04632998294601659</c:v>
                  </c:pt>
                </c:numCache>
              </c:numRef>
            </c:plus>
            <c:minus>
              <c:numRef>
                <c:f>standard!$Z$5:$AA$5</c:f>
                <c:numCache>
                  <c:ptCount val="2"/>
                  <c:pt idx="0">
                    <c:v>0.05093988604107064</c:v>
                  </c:pt>
                  <c:pt idx="1">
                    <c:v>0.03790133546298596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standard!$V$3:$W$3</c:f>
              <c:strCache/>
            </c:strRef>
          </c:cat>
          <c:val>
            <c:numRef>
              <c:f>standard!$V$4:$W$4</c:f>
              <c:numCache/>
            </c:numRef>
          </c:val>
          <c:smooth val="0"/>
        </c:ser>
        <c:marker val="1"/>
        <c:axId val="41509410"/>
        <c:axId val="38040371"/>
      </c:lineChart>
      <c:catAx>
        <c:axId val="4150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0371"/>
        <c:crosses val="autoZero"/>
        <c:auto val="1"/>
        <c:lblOffset val="100"/>
        <c:tickLblSkip val="1"/>
        <c:noMultiLvlLbl val="0"/>
      </c:catAx>
      <c:valAx>
        <c:axId val="3804037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0941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"/>
          <c:w val="0.9252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standard!$AE$37</c:f>
              <c:strCache>
                <c:ptCount val="1"/>
                <c:pt idx="0">
                  <c:v>NW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standard!$AE$38</c:f>
                <c:numCache>
                  <c:ptCount val="1"/>
                  <c:pt idx="0">
                    <c:v>0.06885738384266026</c:v>
                  </c:pt>
                </c:numCache>
              </c:numRef>
            </c:plus>
            <c:minus>
              <c:numRef>
                <c:f>standard!$AE$39</c:f>
                <c:numCache>
                  <c:ptCount val="1"/>
                  <c:pt idx="0">
                    <c:v>0.06692158162072452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standard!$AE$36</c:f>
              <c:strCache/>
            </c:strRef>
          </c:cat>
          <c:val>
            <c:numRef>
              <c:f>standard!$W$16</c:f>
              <c:numCache/>
            </c:numRef>
          </c:val>
        </c:ser>
        <c:ser>
          <c:idx val="1"/>
          <c:order val="1"/>
          <c:tx>
            <c:strRef>
              <c:f>standard!$AF$37</c:f>
              <c:strCache>
                <c:ptCount val="1"/>
                <c:pt idx="0">
                  <c:v>NWcc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standard!$AF$38</c:f>
                <c:numCache>
                  <c:ptCount val="1"/>
                  <c:pt idx="0">
                    <c:v>0.07124420408873876</c:v>
                  </c:pt>
                </c:numCache>
              </c:numRef>
            </c:plus>
            <c:minus>
              <c:numRef>
                <c:f>standard!$AF$39</c:f>
                <c:numCache>
                  <c:ptCount val="1"/>
                  <c:pt idx="0">
                    <c:v>0.06917015785333233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standard!$AE$36</c:f>
              <c:strCache/>
            </c:strRef>
          </c:cat>
          <c:val>
            <c:numRef>
              <c:f>standard!$AA$16</c:f>
              <c:numCache/>
            </c:numRef>
          </c:val>
        </c:ser>
        <c:axId val="6819020"/>
        <c:axId val="61371181"/>
      </c:barChart>
      <c:catAx>
        <c:axId val="681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61371181"/>
        <c:crosses val="autoZero"/>
        <c:auto val="1"/>
        <c:lblOffset val="100"/>
        <c:tickLblSkip val="1"/>
        <c:noMultiLvlLbl val="0"/>
      </c:catAx>
      <c:valAx>
        <c:axId val="61371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1902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225"/>
          <c:y val="0.02975"/>
          <c:w val="0.9355"/>
          <c:h val="0.94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'row + total'!$B$4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'row + total'!$C$3:$D$3</c:f>
              <c:strCache/>
            </c:strRef>
          </c:cat>
          <c:val>
            <c:numRef>
              <c:f>'row + total'!$C$4:$D$4</c:f>
              <c:numCache/>
            </c:numRef>
          </c:val>
          <c:shape val="box"/>
        </c:ser>
        <c:ser>
          <c:idx val="1"/>
          <c:order val="1"/>
          <c:tx>
            <c:strRef>
              <c:f>'row + total'!$B$5</c:f>
              <c:strCache>
                <c:ptCount val="1"/>
                <c:pt idx="0">
                  <c:v>¬b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'row + total'!$C$3:$D$3</c:f>
              <c:strCache/>
            </c:strRef>
          </c:cat>
          <c:val>
            <c:numRef>
              <c:f>'row + total'!$C$5:$D$5</c:f>
              <c:numCache/>
            </c:numRef>
          </c:val>
          <c:shape val="box"/>
        </c:ser>
        <c:shape val="box"/>
        <c:axId val="15469718"/>
        <c:axId val="5009735"/>
        <c:axId val="45087616"/>
      </c:bar3DChart>
      <c:catAx>
        <c:axId val="1546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9735"/>
        <c:crosses val="autoZero"/>
        <c:auto val="1"/>
        <c:lblOffset val="100"/>
        <c:tickLblSkip val="1"/>
        <c:noMultiLvlLbl val="0"/>
      </c:catAx>
      <c:valAx>
        <c:axId val="50097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69718"/>
        <c:crossesAt val="1"/>
        <c:crossBetween val="between"/>
        <c:dispUnits/>
      </c:valAx>
      <c:serAx>
        <c:axId val="4508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973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'row + total'!$Z$4:$AA$4</c:f>
                <c:numCache>
                  <c:ptCount val="2"/>
                  <c:pt idx="0">
                    <c:v>0.05515420978258595</c:v>
                  </c:pt>
                  <c:pt idx="1">
                    <c:v>0.04632998294601659</c:v>
                  </c:pt>
                </c:numCache>
              </c:numRef>
            </c:plus>
            <c:minus>
              <c:numRef>
                <c:f>'row + total'!$Z$5:$AA$5</c:f>
                <c:numCache>
                  <c:ptCount val="2"/>
                  <c:pt idx="0">
                    <c:v>0.05093988604107064</c:v>
                  </c:pt>
                  <c:pt idx="1">
                    <c:v>0.03790133546298596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'row + total'!$V$3:$W$3</c:f>
              <c:strCache/>
            </c:strRef>
          </c:cat>
          <c:val>
            <c:numRef>
              <c:f>'row + total'!$V$4:$W$4</c:f>
              <c:numCache/>
            </c:numRef>
          </c:val>
          <c:smooth val="0"/>
        </c:ser>
        <c:marker val="1"/>
        <c:axId val="3135361"/>
        <c:axId val="28218250"/>
      </c:lineChart>
      <c:catAx>
        <c:axId val="313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18250"/>
        <c:crosses val="autoZero"/>
        <c:auto val="1"/>
        <c:lblOffset val="100"/>
        <c:tickLblSkip val="1"/>
        <c:noMultiLvlLbl val="0"/>
      </c:catAx>
      <c:valAx>
        <c:axId val="2821825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536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"/>
          <c:w val="0.9255"/>
          <c:h val="0.9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'row + total'!$AE$37</c:f>
              <c:strCache>
                <c:ptCount val="1"/>
                <c:pt idx="0">
                  <c:v>NW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'row + total'!$AE$38</c:f>
                <c:numCache>
                  <c:ptCount val="1"/>
                  <c:pt idx="0">
                    <c:v>0.06885738384266026</c:v>
                  </c:pt>
                </c:numCache>
              </c:numRef>
            </c:plus>
            <c:minus>
              <c:numRef>
                <c:f>'row + total'!$AE$39</c:f>
                <c:numCache>
                  <c:ptCount val="1"/>
                  <c:pt idx="0">
                    <c:v>0.06692158162072452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'row + total'!$AE$36</c:f>
              <c:strCache/>
            </c:strRef>
          </c:cat>
          <c:val>
            <c:numRef>
              <c:f>'row + total'!$W$16</c:f>
              <c:numCache/>
            </c:numRef>
          </c:val>
        </c:ser>
        <c:ser>
          <c:idx val="1"/>
          <c:order val="1"/>
          <c:tx>
            <c:strRef>
              <c:f>'row + total'!$AF$37</c:f>
              <c:strCache>
                <c:ptCount val="1"/>
                <c:pt idx="0">
                  <c:v>NWcc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'row + total'!$AF$38</c:f>
                <c:numCache>
                  <c:ptCount val="1"/>
                  <c:pt idx="0">
                    <c:v>0.07124420408873876</c:v>
                  </c:pt>
                </c:numCache>
              </c:numRef>
            </c:plus>
            <c:minus>
              <c:numRef>
                <c:f>'row + total'!$AF$39</c:f>
                <c:numCache>
                  <c:ptCount val="1"/>
                  <c:pt idx="0">
                    <c:v>0.06917015785333233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'row + total'!$AE$36</c:f>
              <c:strCache/>
            </c:strRef>
          </c:cat>
          <c:val>
            <c:numRef>
              <c:f>'row + total'!$AA$16</c:f>
              <c:numCache/>
            </c:numRef>
          </c:val>
        </c:ser>
        <c:axId val="52637659"/>
        <c:axId val="3976884"/>
      </c:bar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3976884"/>
        <c:crosses val="autoZero"/>
        <c:auto val="1"/>
        <c:lblOffset val="100"/>
        <c:tickLblSkip val="1"/>
        <c:noMultiLvlLbl val="0"/>
      </c:catAx>
      <c:valAx>
        <c:axId val="39768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37659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3"/>
          <c:y val="0.029"/>
          <c:w val="0.93425"/>
          <c:h val="0.94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'column + total'!$B$4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'column + total'!$C$3:$D$3</c:f>
              <c:strCache/>
            </c:strRef>
          </c:cat>
          <c:val>
            <c:numRef>
              <c:f>'column + total'!$C$4:$D$4</c:f>
              <c:numCache/>
            </c:numRef>
          </c:val>
          <c:shape val="box"/>
        </c:ser>
        <c:ser>
          <c:idx val="1"/>
          <c:order val="1"/>
          <c:tx>
            <c:strRef>
              <c:f>'column + total'!$B$5</c:f>
              <c:strCache>
                <c:ptCount val="1"/>
                <c:pt idx="0">
                  <c:v>¬b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'column + total'!$C$3:$D$3</c:f>
              <c:strCache/>
            </c:strRef>
          </c:cat>
          <c:val>
            <c:numRef>
              <c:f>'column + total'!$C$5:$D$5</c:f>
              <c:numCache/>
            </c:numRef>
          </c:val>
          <c:shape val="box"/>
        </c:ser>
        <c:shape val="box"/>
        <c:axId val="35791957"/>
        <c:axId val="53692158"/>
        <c:axId val="13467375"/>
      </c:bar3D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2158"/>
        <c:crosses val="autoZero"/>
        <c:auto val="1"/>
        <c:lblOffset val="100"/>
        <c:tickLblSkip val="1"/>
        <c:noMultiLvlLbl val="0"/>
      </c:catAx>
      <c:valAx>
        <c:axId val="536921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91957"/>
        <c:crossesAt val="1"/>
        <c:crossBetween val="between"/>
        <c:dispUnits/>
      </c:valAx>
      <c:serAx>
        <c:axId val="1346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21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'column + total'!$Z$4:$AA$4</c:f>
                <c:numCache>
                  <c:ptCount val="2"/>
                  <c:pt idx="0">
                    <c:v>0.05515420978258595</c:v>
                  </c:pt>
                  <c:pt idx="1">
                    <c:v>0.04632998294601659</c:v>
                  </c:pt>
                </c:numCache>
              </c:numRef>
            </c:plus>
            <c:minus>
              <c:numRef>
                <c:f>'column + total'!$Z$5:$AA$5</c:f>
                <c:numCache>
                  <c:ptCount val="2"/>
                  <c:pt idx="0">
                    <c:v>0.05093988604107064</c:v>
                  </c:pt>
                  <c:pt idx="1">
                    <c:v>0.03790133546298596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'column + total'!$V$3:$W$3</c:f>
              <c:strCache/>
            </c:strRef>
          </c:cat>
          <c:val>
            <c:numRef>
              <c:f>'column + total'!$V$4:$W$4</c:f>
              <c:numCache/>
            </c:numRef>
          </c:val>
          <c:smooth val="0"/>
        </c:ser>
        <c:marker val="1"/>
        <c:axId val="54097512"/>
        <c:axId val="17115561"/>
      </c:lineChart>
      <c:catAx>
        <c:axId val="5409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15561"/>
        <c:crosses val="autoZero"/>
        <c:auto val="1"/>
        <c:lblOffset val="100"/>
        <c:tickLblSkip val="1"/>
        <c:noMultiLvlLbl val="0"/>
      </c:catAx>
      <c:valAx>
        <c:axId val="1711556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751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"/>
          <c:w val="0.927"/>
          <c:h val="0.9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'column + total'!$AE$3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'column + total'!$AE$38</c:f>
                <c:numCache>
                  <c:ptCount val="1"/>
                  <c:pt idx="0">
                    <c:v>0.06885738384266026</c:v>
                  </c:pt>
                </c:numCache>
              </c:numRef>
            </c:plus>
            <c:minus>
              <c:numRef>
                <c:f>'column + total'!$AE$39</c:f>
                <c:numCache>
                  <c:ptCount val="1"/>
                  <c:pt idx="0">
                    <c:v>0.06692158162072452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'column + total'!$AE$2</c:f>
              <c:numCache/>
            </c:numRef>
          </c:cat>
          <c:val>
            <c:numRef>
              <c:f>'column + total'!$W$16</c:f>
              <c:numCache/>
            </c:numRef>
          </c:val>
        </c:ser>
        <c:ser>
          <c:idx val="1"/>
          <c:order val="1"/>
          <c:tx>
            <c:strRef>
              <c:f>'column + total'!$AF$3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'column + total'!$AF$38</c:f>
                <c:numCache>
                  <c:ptCount val="1"/>
                  <c:pt idx="0">
                    <c:v>0.07124420408873876</c:v>
                  </c:pt>
                </c:numCache>
              </c:numRef>
            </c:plus>
            <c:minus>
              <c:numRef>
                <c:f>'column + total'!$AF$39</c:f>
                <c:numCache>
                  <c:ptCount val="1"/>
                  <c:pt idx="0">
                    <c:v>0.06917015785333233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'column + total'!$AE$2</c:f>
              <c:numCache/>
            </c:numRef>
          </c:cat>
          <c:val>
            <c:numRef>
              <c:f>'column + total'!$AA$16</c:f>
              <c:numCache/>
            </c:numRef>
          </c:val>
        </c:ser>
        <c:axId val="19822322"/>
        <c:axId val="44183171"/>
      </c:barChart>
      <c:catAx>
        <c:axId val="19822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44183171"/>
        <c:crosses val="autoZero"/>
        <c:auto val="1"/>
        <c:lblOffset val="100"/>
        <c:tickLblSkip val="1"/>
        <c:noMultiLvlLbl val="0"/>
      </c:catAx>
      <c:valAx>
        <c:axId val="441831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2232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66675</xdr:colOff>
      <xdr:row>1</xdr:row>
      <xdr:rowOff>47625</xdr:rowOff>
    </xdr:from>
    <xdr:to>
      <xdr:col>37</xdr:col>
      <xdr:colOff>390525</xdr:colOff>
      <xdr:row>18</xdr:row>
      <xdr:rowOff>133350</xdr:rowOff>
    </xdr:to>
    <xdr:graphicFrame>
      <xdr:nvGraphicFramePr>
        <xdr:cNvPr id="1" name="Chart 2"/>
        <xdr:cNvGraphicFramePr/>
      </xdr:nvGraphicFramePr>
      <xdr:xfrm>
        <a:off x="19116675" y="238125"/>
        <a:ext cx="27622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180975</xdr:colOff>
      <xdr:row>21</xdr:row>
      <xdr:rowOff>85725</xdr:rowOff>
    </xdr:from>
    <xdr:to>
      <xdr:col>37</xdr:col>
      <xdr:colOff>314325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19230975" y="3571875"/>
        <a:ext cx="25717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95250</xdr:colOff>
      <xdr:row>40</xdr:row>
      <xdr:rowOff>133350</xdr:rowOff>
    </xdr:from>
    <xdr:to>
      <xdr:col>37</xdr:col>
      <xdr:colOff>323850</xdr:colOff>
      <xdr:row>58</xdr:row>
      <xdr:rowOff>66675</xdr:rowOff>
    </xdr:to>
    <xdr:graphicFrame>
      <xdr:nvGraphicFramePr>
        <xdr:cNvPr id="3" name="Chart 4"/>
        <xdr:cNvGraphicFramePr/>
      </xdr:nvGraphicFramePr>
      <xdr:xfrm>
        <a:off x="19145250" y="6724650"/>
        <a:ext cx="26670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142875</xdr:colOff>
      <xdr:row>1</xdr:row>
      <xdr:rowOff>47625</xdr:rowOff>
    </xdr:from>
    <xdr:to>
      <xdr:col>37</xdr:col>
      <xdr:colOff>400050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18897600" y="238125"/>
        <a:ext cx="26955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180975</xdr:colOff>
      <xdr:row>19</xdr:row>
      <xdr:rowOff>85725</xdr:rowOff>
    </xdr:from>
    <xdr:to>
      <xdr:col>37</xdr:col>
      <xdr:colOff>323850</xdr:colOff>
      <xdr:row>37</xdr:row>
      <xdr:rowOff>47625</xdr:rowOff>
    </xdr:to>
    <xdr:graphicFrame>
      <xdr:nvGraphicFramePr>
        <xdr:cNvPr id="2" name="Chart 6"/>
        <xdr:cNvGraphicFramePr/>
      </xdr:nvGraphicFramePr>
      <xdr:xfrm>
        <a:off x="18935700" y="3248025"/>
        <a:ext cx="25812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142875</xdr:colOff>
      <xdr:row>38</xdr:row>
      <xdr:rowOff>57150</xdr:rowOff>
    </xdr:from>
    <xdr:to>
      <xdr:col>37</xdr:col>
      <xdr:colOff>381000</xdr:colOff>
      <xdr:row>56</xdr:row>
      <xdr:rowOff>0</xdr:rowOff>
    </xdr:to>
    <xdr:graphicFrame>
      <xdr:nvGraphicFramePr>
        <xdr:cNvPr id="3" name="Chart 8"/>
        <xdr:cNvGraphicFramePr/>
      </xdr:nvGraphicFramePr>
      <xdr:xfrm>
        <a:off x="18897600" y="6324600"/>
        <a:ext cx="26765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161925</xdr:colOff>
      <xdr:row>0</xdr:row>
      <xdr:rowOff>161925</xdr:rowOff>
    </xdr:from>
    <xdr:to>
      <xdr:col>37</xdr:col>
      <xdr:colOff>361950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18888075" y="161925"/>
        <a:ext cx="26384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142875</xdr:colOff>
      <xdr:row>19</xdr:row>
      <xdr:rowOff>0</xdr:rowOff>
    </xdr:from>
    <xdr:to>
      <xdr:col>37</xdr:col>
      <xdr:colOff>295275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8869025" y="3162300"/>
        <a:ext cx="2590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85725</xdr:colOff>
      <xdr:row>37</xdr:row>
      <xdr:rowOff>171450</xdr:rowOff>
    </xdr:from>
    <xdr:to>
      <xdr:col>37</xdr:col>
      <xdr:colOff>333375</xdr:colOff>
      <xdr:row>55</xdr:row>
      <xdr:rowOff>95250</xdr:rowOff>
    </xdr:to>
    <xdr:graphicFrame>
      <xdr:nvGraphicFramePr>
        <xdr:cNvPr id="3" name="Chart 3"/>
        <xdr:cNvGraphicFramePr/>
      </xdr:nvGraphicFramePr>
      <xdr:xfrm>
        <a:off x="18811875" y="6248400"/>
        <a:ext cx="26860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104775</xdr:colOff>
      <xdr:row>1</xdr:row>
      <xdr:rowOff>47625</xdr:rowOff>
    </xdr:from>
    <xdr:to>
      <xdr:col>37</xdr:col>
      <xdr:colOff>295275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8878550" y="238125"/>
        <a:ext cx="2628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104775</xdr:colOff>
      <xdr:row>19</xdr:row>
      <xdr:rowOff>123825</xdr:rowOff>
    </xdr:from>
    <xdr:to>
      <xdr:col>37</xdr:col>
      <xdr:colOff>266700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8878550" y="3286125"/>
        <a:ext cx="26003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76200</xdr:colOff>
      <xdr:row>38</xdr:row>
      <xdr:rowOff>76200</xdr:rowOff>
    </xdr:from>
    <xdr:to>
      <xdr:col>37</xdr:col>
      <xdr:colOff>314325</xdr:colOff>
      <xdr:row>56</xdr:row>
      <xdr:rowOff>19050</xdr:rowOff>
    </xdr:to>
    <xdr:graphicFrame>
      <xdr:nvGraphicFramePr>
        <xdr:cNvPr id="3" name="Chart 4"/>
        <xdr:cNvGraphicFramePr/>
      </xdr:nvGraphicFramePr>
      <xdr:xfrm>
        <a:off x="18849975" y="6343650"/>
        <a:ext cx="26765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8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2.00390625" style="0" customWidth="1"/>
    <col min="2" max="2" width="8.57421875" style="0" customWidth="1"/>
    <col min="6" max="6" width="9.7109375" style="0" customWidth="1"/>
    <col min="7" max="7" width="10.57421875" style="0" customWidth="1"/>
    <col min="9" max="9" width="3.7109375" style="0" customWidth="1"/>
    <col min="13" max="13" width="3.7109375" style="0" customWidth="1"/>
    <col min="14" max="14" width="9.421875" style="0" customWidth="1"/>
    <col min="16" max="16" width="10.00390625" style="0" customWidth="1"/>
    <col min="17" max="17" width="3.7109375" style="0" customWidth="1"/>
    <col min="21" max="21" width="3.7109375" style="0" customWidth="1"/>
    <col min="22" max="22" width="12.140625" style="0" customWidth="1"/>
    <col min="24" max="24" width="9.8515625" style="0" customWidth="1"/>
    <col min="25" max="25" width="3.7109375" style="0" customWidth="1"/>
    <col min="26" max="26" width="12.28125" style="0" customWidth="1"/>
    <col min="28" max="28" width="9.57421875" style="0" customWidth="1"/>
    <col min="30" max="30" width="4.421875" style="0" customWidth="1"/>
    <col min="31" max="31" width="12.28125" style="0" customWidth="1"/>
  </cols>
  <sheetData>
    <row r="1" ht="15">
      <c r="B1" s="1" t="s">
        <v>18</v>
      </c>
    </row>
    <row r="2" spans="1:26" ht="15">
      <c r="A2" s="2" t="s">
        <v>0</v>
      </c>
      <c r="C2" s="122" t="s">
        <v>4</v>
      </c>
      <c r="D2" s="122"/>
      <c r="G2" t="s">
        <v>123</v>
      </c>
      <c r="H2" s="101">
        <v>0.05</v>
      </c>
      <c r="I2" t="s">
        <v>38</v>
      </c>
      <c r="J2" s="102">
        <f>NORMSINV(1-(H2/2))</f>
        <v>1.9599639845400536</v>
      </c>
      <c r="V2" t="s">
        <v>45</v>
      </c>
      <c r="Z2" t="s">
        <v>67</v>
      </c>
    </row>
    <row r="3" spans="3:24" ht="12.75">
      <c r="C3" s="5" t="s">
        <v>1</v>
      </c>
      <c r="D3" s="5" t="s">
        <v>5</v>
      </c>
      <c r="E3" s="13" t="s">
        <v>7</v>
      </c>
      <c r="R3" s="41"/>
      <c r="S3" s="54"/>
      <c r="V3" s="5" t="str">
        <f>C3</f>
        <v>a</v>
      </c>
      <c r="W3" s="5" t="str">
        <f>D3</f>
        <v>¬a</v>
      </c>
      <c r="X3" t="s">
        <v>43</v>
      </c>
    </row>
    <row r="4" spans="1:27" ht="12.75">
      <c r="A4" s="121" t="s">
        <v>3</v>
      </c>
      <c r="B4" s="4" t="s">
        <v>2</v>
      </c>
      <c r="C4" s="14">
        <v>100</v>
      </c>
      <c r="D4" s="21">
        <v>50</v>
      </c>
      <c r="E4" s="7">
        <f>SUM(C4:D4)</f>
        <v>150</v>
      </c>
      <c r="G4" s="26" t="s">
        <v>15</v>
      </c>
      <c r="U4" s="8" t="s">
        <v>36</v>
      </c>
      <c r="V4" s="50">
        <f>C4/C6</f>
        <v>0.3333333333333333</v>
      </c>
      <c r="W4" s="51">
        <f>D4/D6</f>
        <v>0.16666666666666666</v>
      </c>
      <c r="X4" s="41">
        <f>E4/E6</f>
        <v>0.25</v>
      </c>
      <c r="Z4" s="54">
        <f>W23-V4</f>
        <v>0.05515420978258595</v>
      </c>
      <c r="AA4" s="54">
        <f>W30-W4</f>
        <v>0.04632998294601659</v>
      </c>
    </row>
    <row r="5" spans="1:27" ht="12.75">
      <c r="A5" s="121"/>
      <c r="B5" s="4" t="s">
        <v>6</v>
      </c>
      <c r="C5" s="22">
        <v>200</v>
      </c>
      <c r="D5" s="23">
        <v>250</v>
      </c>
      <c r="E5" s="9">
        <f>SUM(C5:D5)</f>
        <v>450</v>
      </c>
      <c r="U5" s="8" t="s">
        <v>40</v>
      </c>
      <c r="V5" s="52">
        <f>1-V4</f>
        <v>0.6666666666666667</v>
      </c>
      <c r="W5" s="53">
        <f>1-W4</f>
        <v>0.8333333333333334</v>
      </c>
      <c r="X5" s="41">
        <f>1-X4</f>
        <v>0.75</v>
      </c>
      <c r="Z5" s="54">
        <f>V4-W24</f>
        <v>0.05093988604107064</v>
      </c>
      <c r="AA5" s="54">
        <f>W4-W31</f>
        <v>0.03790133546298596</v>
      </c>
    </row>
    <row r="6" spans="2:23" ht="12.75">
      <c r="B6" s="12" t="s">
        <v>7</v>
      </c>
      <c r="C6" s="6">
        <f>SUM(C4:C5)</f>
        <v>300</v>
      </c>
      <c r="D6" s="15">
        <f>SUM(D4:D5)</f>
        <v>300</v>
      </c>
      <c r="E6" s="16">
        <f>SUM(E4:E5)</f>
        <v>600</v>
      </c>
      <c r="H6" s="104"/>
      <c r="J6" s="26"/>
      <c r="V6" t="s">
        <v>72</v>
      </c>
      <c r="W6" t="s">
        <v>73</v>
      </c>
    </row>
    <row r="7" spans="2:24" ht="12.75">
      <c r="B7" s="8"/>
      <c r="C7" s="10"/>
      <c r="D7" s="10"/>
      <c r="E7" s="10"/>
      <c r="X7" s="54"/>
    </row>
    <row r="8" spans="1:31" ht="15">
      <c r="A8" s="2" t="s">
        <v>8</v>
      </c>
      <c r="F8" t="s">
        <v>47</v>
      </c>
      <c r="N8" t="s">
        <v>49</v>
      </c>
      <c r="R8" t="s">
        <v>50</v>
      </c>
      <c r="V8" t="s">
        <v>48</v>
      </c>
      <c r="Z8" t="s">
        <v>55</v>
      </c>
      <c r="AE8" t="s">
        <v>79</v>
      </c>
    </row>
    <row r="9" spans="1:33" ht="12.75">
      <c r="A9" s="56" t="s">
        <v>52</v>
      </c>
      <c r="F9" s="28" t="s">
        <v>14</v>
      </c>
      <c r="G9" s="28"/>
      <c r="H9" s="28"/>
      <c r="J9" s="28" t="s">
        <v>53</v>
      </c>
      <c r="K9" s="28"/>
      <c r="L9" s="28"/>
      <c r="N9" s="64" t="s">
        <v>22</v>
      </c>
      <c r="O9" s="65"/>
      <c r="P9" s="66"/>
      <c r="R9" s="28" t="s">
        <v>23</v>
      </c>
      <c r="S9" s="28"/>
      <c r="T9" s="28"/>
      <c r="V9" s="28" t="s">
        <v>34</v>
      </c>
      <c r="W9" s="28"/>
      <c r="X9" s="28"/>
      <c r="Z9" s="64" t="s">
        <v>58</v>
      </c>
      <c r="AA9" s="65"/>
      <c r="AB9" s="65"/>
      <c r="AC9" s="66"/>
      <c r="AE9" s="28" t="s">
        <v>77</v>
      </c>
      <c r="AF9" s="28"/>
      <c r="AG9" s="28"/>
    </row>
    <row r="10" spans="1:33" ht="12.75">
      <c r="A10" s="3"/>
      <c r="B10" t="s">
        <v>9</v>
      </c>
      <c r="C10" s="5" t="str">
        <f>$C$3</f>
        <v>a</v>
      </c>
      <c r="D10" s="5" t="str">
        <f>$D$3</f>
        <v>¬a</v>
      </c>
      <c r="F10" s="29" t="s">
        <v>11</v>
      </c>
      <c r="G10" s="30" t="str">
        <f>$C$3</f>
        <v>a</v>
      </c>
      <c r="H10" s="30" t="str">
        <f>$D$3</f>
        <v>¬a</v>
      </c>
      <c r="J10" s="29"/>
      <c r="K10" s="30"/>
      <c r="L10" s="30"/>
      <c r="N10" s="74" t="s">
        <v>11</v>
      </c>
      <c r="O10" s="30" t="str">
        <f>$C$3</f>
        <v>a</v>
      </c>
      <c r="P10" s="75" t="str">
        <f>$D$3</f>
        <v>¬a</v>
      </c>
      <c r="R10" s="35" t="s">
        <v>13</v>
      </c>
      <c r="S10" s="30" t="str">
        <f>$C$3</f>
        <v>a</v>
      </c>
      <c r="T10" s="30" t="str">
        <f>$D$3</f>
        <v>¬a</v>
      </c>
      <c r="V10" s="28"/>
      <c r="W10" s="30" t="str">
        <f>$C$3</f>
        <v>a</v>
      </c>
      <c r="X10" s="30" t="str">
        <f>$D$3</f>
        <v>¬a</v>
      </c>
      <c r="Z10" s="67" t="s">
        <v>60</v>
      </c>
      <c r="AA10" s="61">
        <f>2*(C6+$J$2*$J$2)</f>
        <v>607.6829176413883</v>
      </c>
      <c r="AB10" s="61">
        <f>2*(D6+$J$2*$J$2)</f>
        <v>607.6829176413883</v>
      </c>
      <c r="AC10" s="68"/>
      <c r="AE10" s="28"/>
      <c r="AF10" s="28"/>
      <c r="AG10" s="28"/>
    </row>
    <row r="11" spans="1:33" ht="12.75">
      <c r="A11" s="3"/>
      <c r="B11" s="4" t="str">
        <f>$B$4</f>
        <v>b</v>
      </c>
      <c r="C11" s="17">
        <f>$E4*C$6/$E$6</f>
        <v>75</v>
      </c>
      <c r="D11" s="18">
        <f>$E4*D$6/$E$6</f>
        <v>75</v>
      </c>
      <c r="F11" s="28"/>
      <c r="G11" s="43">
        <f>(C4-C11)^2/C11</f>
        <v>8.333333333333334</v>
      </c>
      <c r="H11" s="43">
        <f>(D4-D11)^2/D11</f>
        <v>8.333333333333334</v>
      </c>
      <c r="J11" s="28" t="s">
        <v>30</v>
      </c>
      <c r="K11" s="39" t="s">
        <v>31</v>
      </c>
      <c r="L11" s="31"/>
      <c r="N11" s="67"/>
      <c r="O11" s="31">
        <f>(ABS(C4-C11)-0.5)^2/C11</f>
        <v>8.003333333333334</v>
      </c>
      <c r="P11" s="76">
        <f>(ABS(D4-D11)-0.5)^2/D11</f>
        <v>8.003333333333334</v>
      </c>
      <c r="R11" s="28"/>
      <c r="S11" s="34">
        <f>IF(C4=0,0,2*C4*LN(C4/C11))</f>
        <v>57.53641449035617</v>
      </c>
      <c r="T11" s="34">
        <f>IF(D4=0,0,2*D4*LN(D4/D11))</f>
        <v>-40.54651081081644</v>
      </c>
      <c r="V11" s="28" t="s">
        <v>44</v>
      </c>
      <c r="W11" s="28">
        <f>$J$2*$J$2/C6</f>
        <v>0.012804862735647078</v>
      </c>
      <c r="X11" s="28">
        <f>$J$2*$J$2/D6</f>
        <v>0.012804862735647078</v>
      </c>
      <c r="Z11" s="67" t="s">
        <v>59</v>
      </c>
      <c r="AA11" s="61">
        <f>$J$2*$J$2-(1/C6)+(4*C6*V4*V5)</f>
        <v>270.5047921540275</v>
      </c>
      <c r="AB11" s="61">
        <f>$J$2*$J$2-(1/D6)+(4*D6*W4*W5)</f>
        <v>170.50479215402748</v>
      </c>
      <c r="AC11" s="68"/>
      <c r="AE11" s="28" t="s">
        <v>80</v>
      </c>
      <c r="AF11" s="28"/>
      <c r="AG11" s="28"/>
    </row>
    <row r="12" spans="1:33" ht="12.75">
      <c r="A12" s="3"/>
      <c r="B12" s="4" t="str">
        <f>$B$5</f>
        <v>¬b</v>
      </c>
      <c r="C12" s="19">
        <f>$E5*C$6/$E$6</f>
        <v>225</v>
      </c>
      <c r="D12" s="20">
        <f>$E5*D$6/$E$6</f>
        <v>225</v>
      </c>
      <c r="F12" s="28"/>
      <c r="G12" s="43">
        <f>(C5-C12)^2/C12</f>
        <v>2.7777777777777777</v>
      </c>
      <c r="H12" s="43">
        <f>(D5-D12)^2/D12</f>
        <v>2.7777777777777777</v>
      </c>
      <c r="J12" s="38" t="s">
        <v>84</v>
      </c>
      <c r="K12" s="31"/>
      <c r="L12" s="31"/>
      <c r="N12" s="67"/>
      <c r="O12" s="31">
        <f>(ABS(C5-C12)-0.5)^2/C12</f>
        <v>2.667777777777778</v>
      </c>
      <c r="P12" s="76">
        <f>(ABS(D5-D12)-0.5)^2/D12</f>
        <v>2.667777777777778</v>
      </c>
      <c r="R12" s="28"/>
      <c r="S12" s="34">
        <f>IF(C5=0,0,2*C5*LN(C5/C12))</f>
        <v>-47.113214262553406</v>
      </c>
      <c r="T12" s="34">
        <f>IF(D5=0,0,2*D5*LN(D5/D12))</f>
        <v>52.68025782891318</v>
      </c>
      <c r="V12" s="28"/>
      <c r="W12" s="31"/>
      <c r="X12" s="28"/>
      <c r="Z12" s="67" t="s">
        <v>56</v>
      </c>
      <c r="AA12" s="61">
        <f>2-4*V4</f>
        <v>0.6666666666666667</v>
      </c>
      <c r="AB12" s="61">
        <f>2-4*W4</f>
        <v>1.3333333333333335</v>
      </c>
      <c r="AC12" s="68"/>
      <c r="AE12" s="28"/>
      <c r="AF12" s="28"/>
      <c r="AG12" s="28"/>
    </row>
    <row r="13" spans="1:33" ht="12.75">
      <c r="A13" s="3"/>
      <c r="C13" s="36"/>
      <c r="D13" s="36"/>
      <c r="F13" s="32" t="s">
        <v>7</v>
      </c>
      <c r="G13" s="33">
        <f>SUM(G11:H12)</f>
        <v>22.222222222222225</v>
      </c>
      <c r="H13" s="35"/>
      <c r="J13" s="40" t="s">
        <v>85</v>
      </c>
      <c r="K13" s="37"/>
      <c r="L13" s="28"/>
      <c r="N13" s="70" t="s">
        <v>7</v>
      </c>
      <c r="O13" s="33">
        <f>SUM(O11:P12)</f>
        <v>21.342222222222226</v>
      </c>
      <c r="P13" s="68"/>
      <c r="R13" s="32" t="s">
        <v>7</v>
      </c>
      <c r="S13" s="33">
        <f>SUM(S11:T12)</f>
        <v>22.5569472458995</v>
      </c>
      <c r="T13" s="28"/>
      <c r="V13" s="28"/>
      <c r="W13" s="31"/>
      <c r="X13" s="31"/>
      <c r="Z13" s="67"/>
      <c r="AA13" s="38"/>
      <c r="AB13" s="38"/>
      <c r="AC13" s="68"/>
      <c r="AE13" s="28"/>
      <c r="AF13" s="28"/>
      <c r="AG13" s="28"/>
    </row>
    <row r="14" spans="1:33" ht="12.75">
      <c r="A14" s="27" t="s">
        <v>19</v>
      </c>
      <c r="F14" s="28" t="s">
        <v>12</v>
      </c>
      <c r="G14" s="34">
        <f>CHIDIST(G13,1)</f>
        <v>2.42846747297584E-06</v>
      </c>
      <c r="H14" s="35" t="str">
        <f>IF((G14&lt;H2),"s","ns")</f>
        <v>s</v>
      </c>
      <c r="J14" s="38" t="s">
        <v>54</v>
      </c>
      <c r="K14" s="37"/>
      <c r="L14" s="35"/>
      <c r="N14" s="67" t="s">
        <v>12</v>
      </c>
      <c r="O14" s="37">
        <f>CHIDIST(O13,1)</f>
        <v>3.8417620981830605E-06</v>
      </c>
      <c r="P14" s="77" t="str">
        <f>IF((O14&lt;$H$2),"s","ns")</f>
        <v>s</v>
      </c>
      <c r="R14" s="28" t="s">
        <v>12</v>
      </c>
      <c r="S14" s="34">
        <f>CHIDIST(S13,1)</f>
        <v>2.0400545153694343E-06</v>
      </c>
      <c r="T14" s="35" t="str">
        <f>IF((S14&lt;$H$2),"s","ns")</f>
        <v>s</v>
      </c>
      <c r="V14" s="28" t="s">
        <v>69</v>
      </c>
      <c r="W14" s="44">
        <f>J2*SQRT(W23*(1-W23)/C6+W31*(1-W31)/D6)</f>
        <v>0.06692158162072452</v>
      </c>
      <c r="X14" s="42" t="s">
        <v>119</v>
      </c>
      <c r="Z14" s="67" t="s">
        <v>69</v>
      </c>
      <c r="AA14" s="61">
        <f>SQRT((AA31-W4)^2+(V4-AA23)^2)</f>
        <v>0.06917015785333233</v>
      </c>
      <c r="AB14" s="61">
        <f>SQRT((AB31-W4)^2+(V4-AB23)^2)</f>
        <v>0.06917015785333233</v>
      </c>
      <c r="AC14" s="79"/>
      <c r="AD14" s="54"/>
      <c r="AE14" s="28"/>
      <c r="AF14" s="28"/>
      <c r="AG14" s="28"/>
    </row>
    <row r="15" spans="6:33" ht="12.75">
      <c r="F15" s="38"/>
      <c r="G15" s="38"/>
      <c r="H15" s="38"/>
      <c r="J15" s="35"/>
      <c r="K15" s="35"/>
      <c r="L15" s="35"/>
      <c r="N15" s="67"/>
      <c r="O15" s="37"/>
      <c r="P15" s="77"/>
      <c r="R15" s="28"/>
      <c r="S15" s="34"/>
      <c r="T15" s="35"/>
      <c r="V15" s="28" t="s">
        <v>70</v>
      </c>
      <c r="W15" s="44">
        <f>-J2*SQRT(W24*(1-W24)/C6+W30*(1-W30)/D6)</f>
        <v>-0.06885738384266026</v>
      </c>
      <c r="X15" s="43"/>
      <c r="Z15" s="67" t="s">
        <v>70</v>
      </c>
      <c r="AA15" s="61">
        <f>-SQRT((AA30-W4)^2+(V4-AA24)^2)</f>
        <v>-0.07124420408873876</v>
      </c>
      <c r="AB15" s="61">
        <f>-SQRT((AB30-W4)^2+(V4-AB24)^2)</f>
        <v>-0.07124420408873876</v>
      </c>
      <c r="AC15" s="69"/>
      <c r="AE15" s="28"/>
      <c r="AF15" s="28"/>
      <c r="AG15" s="28"/>
    </row>
    <row r="16" spans="6:33" ht="12.75">
      <c r="F16" s="28" t="s">
        <v>33</v>
      </c>
      <c r="G16" s="42">
        <f>(C4*D5-C5*D4)/SQRT(E4*E5*C6*D6)</f>
        <v>0.19245008972987526</v>
      </c>
      <c r="H16" s="38"/>
      <c r="J16" s="28" t="s">
        <v>103</v>
      </c>
      <c r="K16" s="99">
        <f>W75</f>
        <v>2.4999999999999996</v>
      </c>
      <c r="L16" s="28"/>
      <c r="N16" s="67" t="s">
        <v>33</v>
      </c>
      <c r="O16" s="61">
        <f>G16</f>
        <v>0.19245008972987526</v>
      </c>
      <c r="P16" s="77"/>
      <c r="R16" s="119" t="s">
        <v>144</v>
      </c>
      <c r="S16" s="42">
        <f>W96</f>
        <v>-0.5</v>
      </c>
      <c r="T16" s="35"/>
      <c r="V16" s="28" t="s">
        <v>71</v>
      </c>
      <c r="W16" s="49">
        <f>W4-V4</f>
        <v>-0.16666666666666666</v>
      </c>
      <c r="X16" s="45" t="str">
        <f>IF(W16&lt;W15,"s-",IF(W16&gt;W14,"s+","ns"))</f>
        <v>s-</v>
      </c>
      <c r="Z16" s="67" t="s">
        <v>98</v>
      </c>
      <c r="AA16" s="60">
        <f>W16</f>
        <v>-0.16666666666666666</v>
      </c>
      <c r="AB16" s="45" t="str">
        <f>IF(AA16&lt;AB15,"s-",IF(AA16&gt;AB14,"s+","ns"))</f>
        <v>s-</v>
      </c>
      <c r="AC16" s="69"/>
      <c r="AE16" s="28"/>
      <c r="AF16" s="28"/>
      <c r="AG16" s="28"/>
    </row>
    <row r="17" spans="6:33" ht="12.75">
      <c r="F17" s="110" t="s">
        <v>121</v>
      </c>
      <c r="G17" s="89">
        <f>W56</f>
        <v>0.1131555993750263</v>
      </c>
      <c r="H17" s="38"/>
      <c r="J17" s="28" t="s">
        <v>115</v>
      </c>
      <c r="K17" s="89">
        <f>W76</f>
        <v>1.6997641984015972</v>
      </c>
      <c r="L17" s="28"/>
      <c r="N17" s="111" t="s">
        <v>121</v>
      </c>
      <c r="O17" s="61">
        <f>AA56</f>
        <v>0.11025164354711338</v>
      </c>
      <c r="P17" s="77"/>
      <c r="R17" s="88" t="s">
        <v>142</v>
      </c>
      <c r="S17" s="42">
        <f>W97</f>
        <v>-0.6295978804323255</v>
      </c>
      <c r="T17" s="123"/>
      <c r="V17" s="28" t="s">
        <v>87</v>
      </c>
      <c r="W17" s="43">
        <f>W16-W14</f>
        <v>-0.23358824828739116</v>
      </c>
      <c r="X17" s="31" t="s">
        <v>145</v>
      </c>
      <c r="Z17" s="67" t="s">
        <v>87</v>
      </c>
      <c r="AA17" s="43">
        <f>AA16-AA14</f>
        <v>-0.235836824519999</v>
      </c>
      <c r="AB17" s="45"/>
      <c r="AC17" s="69"/>
      <c r="AE17" s="28"/>
      <c r="AF17" s="28"/>
      <c r="AG17" s="28"/>
    </row>
    <row r="18" spans="6:33" ht="12.75">
      <c r="F18" s="110" t="s">
        <v>122</v>
      </c>
      <c r="G18" s="89">
        <f>W57</f>
        <v>0.26733095954078184</v>
      </c>
      <c r="H18" s="32" t="str">
        <f>IF(G17&gt;0,"s+",IF(G18&lt;0,"s-","ns"))</f>
        <v>s+</v>
      </c>
      <c r="J18" s="28" t="s">
        <v>116</v>
      </c>
      <c r="K18" s="42">
        <f>W77</f>
        <v>3.676980610532506</v>
      </c>
      <c r="L18" s="35" t="str">
        <f>IF(K17&gt;1,"s+",IF(K18&lt;1,"s-","ns"))</f>
        <v>s+</v>
      </c>
      <c r="N18" s="111" t="s">
        <v>122</v>
      </c>
      <c r="O18" s="61">
        <f>AA57</f>
        <v>0.2700037567966091</v>
      </c>
      <c r="P18" s="77" t="str">
        <f>IF(O17&gt;0,"s+",IF(O18&lt;0,"s-","ns"))</f>
        <v>s+</v>
      </c>
      <c r="R18" s="88" t="s">
        <v>143</v>
      </c>
      <c r="S18" s="42">
        <f>W98</f>
        <v>-0.3277080924054758</v>
      </c>
      <c r="T18" s="123"/>
      <c r="V18" s="119" t="s">
        <v>86</v>
      </c>
      <c r="W18" s="43">
        <f>W16-W15</f>
        <v>-0.0978092828240064</v>
      </c>
      <c r="X18" s="45"/>
      <c r="Z18" s="120" t="s">
        <v>86</v>
      </c>
      <c r="AA18" s="43">
        <f>AA16-AA15</f>
        <v>-0.0954224625779279</v>
      </c>
      <c r="AB18" s="45"/>
      <c r="AC18" s="69"/>
      <c r="AE18" s="28"/>
      <c r="AF18" s="28"/>
      <c r="AG18" s="28"/>
    </row>
    <row r="19" spans="1:33" ht="12.75">
      <c r="A19" s="56" t="s">
        <v>51</v>
      </c>
      <c r="F19" s="38"/>
      <c r="G19" s="38"/>
      <c r="H19" s="38"/>
      <c r="J19" s="28"/>
      <c r="K19" s="28"/>
      <c r="L19" s="28"/>
      <c r="N19" s="67"/>
      <c r="O19" s="38"/>
      <c r="P19" s="68"/>
      <c r="R19" s="28"/>
      <c r="S19" s="28"/>
      <c r="T19" s="28"/>
      <c r="V19" s="28"/>
      <c r="W19" s="28"/>
      <c r="X19" s="28"/>
      <c r="Z19" s="67"/>
      <c r="AA19" s="38"/>
      <c r="AB19" s="38"/>
      <c r="AC19" s="68"/>
      <c r="AE19" s="28"/>
      <c r="AF19" s="28"/>
      <c r="AG19" s="28"/>
    </row>
    <row r="20" spans="1:33" ht="12.75">
      <c r="A20" s="13" t="s">
        <v>1</v>
      </c>
      <c r="B20" t="s">
        <v>9</v>
      </c>
      <c r="C20" s="5" t="str">
        <f>$C$3</f>
        <v>a</v>
      </c>
      <c r="D20" s="3"/>
      <c r="F20" s="29" t="s">
        <v>11</v>
      </c>
      <c r="G20" s="30" t="str">
        <f>$C$3</f>
        <v>a</v>
      </c>
      <c r="H20" s="28"/>
      <c r="J20" s="32" t="s">
        <v>26</v>
      </c>
      <c r="K20" s="30" t="str">
        <f>$C$3</f>
        <v>a</v>
      </c>
      <c r="L20" s="28"/>
      <c r="N20" s="74" t="s">
        <v>11</v>
      </c>
      <c r="O20" s="30" t="str">
        <f>$C$3</f>
        <v>a</v>
      </c>
      <c r="P20" s="68"/>
      <c r="R20" s="35" t="s">
        <v>13</v>
      </c>
      <c r="S20" s="30" t="str">
        <f>$C$3</f>
        <v>a</v>
      </c>
      <c r="T20" s="28"/>
      <c r="V20" s="28" t="s">
        <v>35</v>
      </c>
      <c r="W20" s="30" t="str">
        <f>$C$3</f>
        <v>a</v>
      </c>
      <c r="X20" s="28"/>
      <c r="Z20" s="67" t="s">
        <v>57</v>
      </c>
      <c r="AA20" s="30" t="str">
        <f>$C$3</f>
        <v>a</v>
      </c>
      <c r="AB20" s="38"/>
      <c r="AC20" s="68"/>
      <c r="AE20" s="28"/>
      <c r="AF20" s="35" t="s">
        <v>1</v>
      </c>
      <c r="AG20" s="28"/>
    </row>
    <row r="21" spans="1:33" ht="12.75">
      <c r="A21" s="3"/>
      <c r="B21" s="4" t="str">
        <f>$B$4</f>
        <v>b</v>
      </c>
      <c r="C21" s="24">
        <f>$E4*C$6/$E$6</f>
        <v>75</v>
      </c>
      <c r="E21" s="78"/>
      <c r="F21" s="28"/>
      <c r="G21" s="31">
        <f>(C4-C11)^2/C11</f>
        <v>8.333333333333334</v>
      </c>
      <c r="H21" s="28"/>
      <c r="J21" s="28" t="s">
        <v>27</v>
      </c>
      <c r="K21" s="31">
        <f>ABS(C21-C4)</f>
        <v>25</v>
      </c>
      <c r="L21" s="28"/>
      <c r="N21" s="67"/>
      <c r="O21" s="31">
        <f>(ABS(C4-C11)-0.5)^2/C11</f>
        <v>8.003333333333334</v>
      </c>
      <c r="P21" s="68"/>
      <c r="R21" s="28"/>
      <c r="S21" s="34">
        <f>IF(C4=0,0,2*C4*LN(C4/C11))</f>
        <v>57.53641449035617</v>
      </c>
      <c r="T21" s="28"/>
      <c r="V21" s="28" t="s">
        <v>39</v>
      </c>
      <c r="W21" s="43">
        <f>(V4+W11/2)/(1+W11)</f>
        <v>0.33544049520409097</v>
      </c>
      <c r="X21" s="28" t="s">
        <v>136</v>
      </c>
      <c r="Z21" s="67"/>
      <c r="AA21" s="38"/>
      <c r="AB21" s="38"/>
      <c r="AC21" s="68" t="s">
        <v>136</v>
      </c>
      <c r="AE21" s="28"/>
      <c r="AF21" s="28"/>
      <c r="AG21" s="28"/>
    </row>
    <row r="22" spans="1:33" ht="12.75">
      <c r="A22" s="3"/>
      <c r="B22" s="4" t="str">
        <f>$B$5</f>
        <v>¬b</v>
      </c>
      <c r="C22" s="25">
        <f>$E5*C$6/$E$6</f>
        <v>225</v>
      </c>
      <c r="F22" s="28"/>
      <c r="G22" s="31">
        <f>(C5-C12)^2/C12</f>
        <v>2.7777777777777777</v>
      </c>
      <c r="H22" s="28"/>
      <c r="J22" s="28" t="s">
        <v>28</v>
      </c>
      <c r="K22" s="55">
        <f>SQRT((X4*(1-X4))*C6)*1.95996</f>
        <v>14.6997</v>
      </c>
      <c r="L22" s="35" t="str">
        <f>IF((K21&gt;K22),"s","ns")</f>
        <v>s</v>
      </c>
      <c r="N22" s="67"/>
      <c r="O22" s="31">
        <f>(ABS(C5-C12)-0.5)^2/C12</f>
        <v>2.667777777777778</v>
      </c>
      <c r="P22" s="68"/>
      <c r="R22" s="28"/>
      <c r="S22" s="34">
        <f>IF(C5=0,0,2*C5*LN(C5/C12))</f>
        <v>-47.113214262553406</v>
      </c>
      <c r="T22" s="28"/>
      <c r="V22" s="28" t="s">
        <v>68</v>
      </c>
      <c r="W22" s="42">
        <f>$J$2*SQRT((V4*V5+W11/4)/C6)/(1+W11)</f>
        <v>0.053047047911828266</v>
      </c>
      <c r="X22" s="42">
        <f>V4-X4</f>
        <v>0.08333333333333331</v>
      </c>
      <c r="Z22" s="67"/>
      <c r="AA22" s="38"/>
      <c r="AB22" s="38"/>
      <c r="AC22" s="69">
        <f>V4-X4</f>
        <v>0.08333333333333331</v>
      </c>
      <c r="AE22" s="28"/>
      <c r="AF22" s="28"/>
      <c r="AG22" s="28"/>
    </row>
    <row r="23" spans="1:33" ht="12.75">
      <c r="A23" s="3"/>
      <c r="F23" s="32" t="s">
        <v>7</v>
      </c>
      <c r="G23" s="33">
        <f>SUM(G21:H22)</f>
        <v>11.11111111111111</v>
      </c>
      <c r="H23" s="28"/>
      <c r="J23" s="28" t="s">
        <v>29</v>
      </c>
      <c r="K23" s="37">
        <f>SQRT((X4*(1-X4))*C6)*2.57583</f>
        <v>19.318725</v>
      </c>
      <c r="L23" s="35" t="str">
        <f>IF((K21&gt;K23),"s","ns")</f>
        <v>s</v>
      </c>
      <c r="N23" s="70" t="s">
        <v>7</v>
      </c>
      <c r="O23" s="33">
        <f>SUM(O21:P22)</f>
        <v>10.671111111111111</v>
      </c>
      <c r="P23" s="68"/>
      <c r="R23" s="32" t="s">
        <v>7</v>
      </c>
      <c r="S23" s="33">
        <f>SUM(S21:T22)</f>
        <v>10.423200227802766</v>
      </c>
      <c r="T23" s="28"/>
      <c r="V23" s="32" t="s">
        <v>41</v>
      </c>
      <c r="W23" s="47">
        <f>W21+W22</f>
        <v>0.38848754311591926</v>
      </c>
      <c r="X23" s="42">
        <f>W23-X4</f>
        <v>0.13848754311591926</v>
      </c>
      <c r="Z23" s="70" t="s">
        <v>41</v>
      </c>
      <c r="AA23" s="47">
        <f>MAX(V4,MIN(AB23,1))</f>
        <v>0.39019813866940956</v>
      </c>
      <c r="AB23" s="61">
        <f>W21+($J$2*SQRT(AA11+AA12)+1)/AA10</f>
        <v>0.39019813866940956</v>
      </c>
      <c r="AC23" s="69">
        <f>AA23-X4</f>
        <v>0.14019813866940956</v>
      </c>
      <c r="AE23" s="28" t="s">
        <v>81</v>
      </c>
      <c r="AF23" s="42">
        <f>IF(X4&lt;V4,1-BINOMDIST(C4-1,C6,X4,TRUE),BINOMDIST(C4,C6,X4,TRUE))</f>
        <v>0.0007476168920783621</v>
      </c>
      <c r="AG23" s="42"/>
    </row>
    <row r="24" spans="1:33" ht="12.75">
      <c r="A24" s="27" t="s">
        <v>21</v>
      </c>
      <c r="F24" s="28" t="s">
        <v>12</v>
      </c>
      <c r="G24" s="34">
        <f>CHIDIST(G23,1)</f>
        <v>0.000858120666393674</v>
      </c>
      <c r="H24" s="35" t="str">
        <f>IF((G24&lt;H2),"s","ns")</f>
        <v>s</v>
      </c>
      <c r="J24" s="28"/>
      <c r="K24" s="34"/>
      <c r="L24" s="35"/>
      <c r="N24" s="67" t="s">
        <v>12</v>
      </c>
      <c r="O24" s="37">
        <f>CHIDIST(O23,1)</f>
        <v>0.0010882173049342834</v>
      </c>
      <c r="P24" s="77" t="str">
        <f>IF((O24&lt;$H$2),"s","ns")</f>
        <v>s</v>
      </c>
      <c r="R24" s="28" t="s">
        <v>12</v>
      </c>
      <c r="S24" s="34">
        <f>CHIDIST(S23,1)</f>
        <v>0.0012444206895429913</v>
      </c>
      <c r="T24" s="35" t="str">
        <f>IF((S24&lt;$H$2),"s","ns")</f>
        <v>s</v>
      </c>
      <c r="V24" s="35" t="s">
        <v>42</v>
      </c>
      <c r="W24" s="48">
        <f>W21-W22</f>
        <v>0.2823934472922627</v>
      </c>
      <c r="X24" s="42">
        <f>W24-X4</f>
        <v>0.03239344729226268</v>
      </c>
      <c r="Z24" s="70" t="s">
        <v>42</v>
      </c>
      <c r="AA24" s="48">
        <f>MIN(V4,MAX(AB24,0))</f>
        <v>0.2808135869737572</v>
      </c>
      <c r="AB24" s="61">
        <f>W21-($J$2*SQRT(AA11-AA12)+1)/AA10</f>
        <v>0.2808135869737572</v>
      </c>
      <c r="AC24" s="69">
        <f>AA24-X4</f>
        <v>0.03081358697375719</v>
      </c>
      <c r="AD24" s="62"/>
      <c r="AE24" s="28" t="s">
        <v>75</v>
      </c>
      <c r="AF24" s="28" t="str">
        <f>IF(AF23&lt;0.025,"s+",IF(AF23&gt;0.925,"s-","ns"))</f>
        <v>s+</v>
      </c>
      <c r="AG24" s="28"/>
    </row>
    <row r="25" spans="6:33" ht="12.75">
      <c r="F25" s="28" t="s">
        <v>137</v>
      </c>
      <c r="G25" s="42">
        <f>SQRT((G21*X4+G22*X5)/(2*C6))</f>
        <v>0.08333333333333333</v>
      </c>
      <c r="H25" s="28"/>
      <c r="J25" s="28"/>
      <c r="K25" s="34"/>
      <c r="L25" s="35"/>
      <c r="N25" s="67"/>
      <c r="O25" s="37"/>
      <c r="P25" s="77"/>
      <c r="R25" s="28"/>
      <c r="S25" s="34"/>
      <c r="T25" s="35"/>
      <c r="V25" s="28"/>
      <c r="W25" s="46" t="str">
        <f>IF($X4&gt;W23,"s+",IF($X4&lt;W24,"s-","ns"))</f>
        <v>s-</v>
      </c>
      <c r="X25" s="42"/>
      <c r="Z25" s="67"/>
      <c r="AA25" s="32" t="str">
        <f>IF($X4&gt;AB23,"s+",IF($X4&lt;AB24,"s-","ns"))</f>
        <v>s-</v>
      </c>
      <c r="AB25" s="38"/>
      <c r="AC25" s="68"/>
      <c r="AE25" s="28" t="s">
        <v>76</v>
      </c>
      <c r="AF25" s="28" t="str">
        <f>IF(AF23&lt;0.005,"s+",IF(AF23&gt;0.995,"s-","ns"))</f>
        <v>s+</v>
      </c>
      <c r="AG25" s="28"/>
    </row>
    <row r="26" spans="1:33" ht="12.75">
      <c r="A26" s="56"/>
      <c r="F26" s="28"/>
      <c r="G26" s="34"/>
      <c r="H26" s="28"/>
      <c r="J26" s="28"/>
      <c r="K26" s="34"/>
      <c r="L26" s="35"/>
      <c r="N26" s="67"/>
      <c r="O26" s="37"/>
      <c r="P26" s="77"/>
      <c r="R26" s="28"/>
      <c r="S26" s="34"/>
      <c r="T26" s="35"/>
      <c r="V26" s="28"/>
      <c r="W26" s="34"/>
      <c r="X26" s="42"/>
      <c r="Z26" s="67"/>
      <c r="AA26" s="38"/>
      <c r="AB26" s="38"/>
      <c r="AC26" s="68"/>
      <c r="AE26" s="28"/>
      <c r="AF26" s="28"/>
      <c r="AG26" s="28"/>
    </row>
    <row r="27" spans="1:33" ht="12.75">
      <c r="A27" s="13" t="s">
        <v>5</v>
      </c>
      <c r="B27" t="s">
        <v>9</v>
      </c>
      <c r="D27" s="5" t="str">
        <f>$D$3</f>
        <v>¬a</v>
      </c>
      <c r="F27" s="29" t="s">
        <v>11</v>
      </c>
      <c r="G27" s="30" t="str">
        <f>$D$3</f>
        <v>¬a</v>
      </c>
      <c r="H27" s="28"/>
      <c r="J27" s="32" t="s">
        <v>26</v>
      </c>
      <c r="K27" s="30" t="str">
        <f>$D$3</f>
        <v>¬a</v>
      </c>
      <c r="L27" s="28"/>
      <c r="N27" s="74" t="s">
        <v>11</v>
      </c>
      <c r="O27" s="30" t="str">
        <f>$D$3</f>
        <v>¬a</v>
      </c>
      <c r="P27" s="68"/>
      <c r="R27" s="35" t="s">
        <v>13</v>
      </c>
      <c r="S27" s="30" t="str">
        <f>$D$3</f>
        <v>¬a</v>
      </c>
      <c r="T27" s="28"/>
      <c r="V27" s="28" t="s">
        <v>35</v>
      </c>
      <c r="W27" s="30" t="str">
        <f>$D$3</f>
        <v>¬a</v>
      </c>
      <c r="X27" s="42"/>
      <c r="Z27" s="67"/>
      <c r="AA27" s="30" t="str">
        <f>$D$3</f>
        <v>¬a</v>
      </c>
      <c r="AB27" s="38"/>
      <c r="AC27" s="68"/>
      <c r="AE27" s="28"/>
      <c r="AF27" s="35" t="s">
        <v>5</v>
      </c>
      <c r="AG27" s="28"/>
    </row>
    <row r="28" spans="2:33" ht="12.75">
      <c r="B28" s="4" t="str">
        <f>$B$4</f>
        <v>b</v>
      </c>
      <c r="D28" s="24">
        <f>$E4*D$6/$E$6</f>
        <v>75</v>
      </c>
      <c r="F28" s="28"/>
      <c r="G28" s="31">
        <f>(D4-D11)^2/D11</f>
        <v>8.333333333333334</v>
      </c>
      <c r="H28" s="28"/>
      <c r="J28" s="28" t="s">
        <v>27</v>
      </c>
      <c r="K28" s="31">
        <f>ABS(D28-D4)</f>
        <v>25</v>
      </c>
      <c r="L28" s="28"/>
      <c r="N28" s="67"/>
      <c r="O28" s="31">
        <f>(ABS(D4-D11)-0.5)^2/D11</f>
        <v>8.003333333333334</v>
      </c>
      <c r="P28" s="68"/>
      <c r="R28" s="28"/>
      <c r="S28" s="34">
        <f>IF(D4=0,0,2*D4*LN(D4/D11))</f>
        <v>-40.54651081081644</v>
      </c>
      <c r="T28" s="28"/>
      <c r="V28" s="28" t="s">
        <v>39</v>
      </c>
      <c r="W28" s="43">
        <f>(W4+X11/2)/(1+X11)</f>
        <v>0.17088099040818197</v>
      </c>
      <c r="X28" s="42"/>
      <c r="Z28" s="67"/>
      <c r="AA28" s="38"/>
      <c r="AB28" s="38"/>
      <c r="AC28" s="68"/>
      <c r="AD28" s="54"/>
      <c r="AE28" s="28"/>
      <c r="AF28" s="28"/>
      <c r="AG28" s="28"/>
    </row>
    <row r="29" spans="2:33" ht="12.75">
      <c r="B29" s="4" t="str">
        <f>$B$5</f>
        <v>¬b</v>
      </c>
      <c r="D29" s="25">
        <f>$E5*D$6/$E$6</f>
        <v>225</v>
      </c>
      <c r="F29" s="28"/>
      <c r="G29" s="31">
        <f>(D5-D12)^2/D12</f>
        <v>2.7777777777777777</v>
      </c>
      <c r="H29" s="28"/>
      <c r="J29" s="28" t="s">
        <v>28</v>
      </c>
      <c r="K29" s="55">
        <f>SQRT((X4*(1-X4))*D6)*1.95996</f>
        <v>14.6997</v>
      </c>
      <c r="L29" s="35" t="str">
        <f>IF((K28&gt;K29),"s","ns")</f>
        <v>s</v>
      </c>
      <c r="N29" s="67"/>
      <c r="O29" s="31">
        <f>(ABS(D5-D12)-0.5)^2/D12</f>
        <v>2.667777777777778</v>
      </c>
      <c r="P29" s="68"/>
      <c r="R29" s="28"/>
      <c r="S29" s="34">
        <f>IF(D5=0,0,2*D5*LN(D5/D12))</f>
        <v>52.68025782891318</v>
      </c>
      <c r="T29" s="28"/>
      <c r="V29" s="28" t="s">
        <v>68</v>
      </c>
      <c r="W29" s="43">
        <f>$J$2*SQRT((W4*W5+X11/4)/D6)/(1+X11)</f>
        <v>0.04211565920450127</v>
      </c>
      <c r="X29" s="42">
        <f>W4-X4</f>
        <v>-0.08333333333333334</v>
      </c>
      <c r="Z29" s="67"/>
      <c r="AA29" s="38"/>
      <c r="AB29" s="38"/>
      <c r="AC29" s="69">
        <f>W4-X4</f>
        <v>-0.08333333333333334</v>
      </c>
      <c r="AD29" s="63"/>
      <c r="AE29" s="28"/>
      <c r="AF29" s="28"/>
      <c r="AG29" s="28"/>
    </row>
    <row r="30" spans="4:33" ht="12.75">
      <c r="D30" s="36"/>
      <c r="F30" s="32" t="s">
        <v>7</v>
      </c>
      <c r="G30" s="33">
        <f>SUM(G28:H29)</f>
        <v>11.11111111111111</v>
      </c>
      <c r="H30" s="28"/>
      <c r="J30" s="28" t="s">
        <v>29</v>
      </c>
      <c r="K30" s="55">
        <f>SQRT((X4*(1-X4))*D6)*2.57583</f>
        <v>19.318725</v>
      </c>
      <c r="L30" s="35" t="str">
        <f>IF((K28&gt;K30),"s","ns")</f>
        <v>s</v>
      </c>
      <c r="N30" s="70" t="s">
        <v>7</v>
      </c>
      <c r="O30" s="33">
        <f>SUM(O28:P29)</f>
        <v>10.671111111111111</v>
      </c>
      <c r="P30" s="68"/>
      <c r="R30" s="32" t="s">
        <v>7</v>
      </c>
      <c r="S30" s="33">
        <f>SUM(S28:T29)</f>
        <v>12.133747018096734</v>
      </c>
      <c r="T30" s="28"/>
      <c r="V30" s="32" t="s">
        <v>41</v>
      </c>
      <c r="W30" s="47">
        <f>W28+W29</f>
        <v>0.21299664961268325</v>
      </c>
      <c r="X30" s="42">
        <f>W30-X4</f>
        <v>-0.03700335038731675</v>
      </c>
      <c r="Z30" s="70" t="s">
        <v>41</v>
      </c>
      <c r="AA30" s="47">
        <f>MAX(W4,MIN(AB30,1))</f>
        <v>0.21480618119022257</v>
      </c>
      <c r="AB30" s="61">
        <f>W28+($J$2*SQRT(AB11+AB12)+1)/AB10</f>
        <v>0.21480618119022257</v>
      </c>
      <c r="AC30" s="69">
        <f>AA30-X4</f>
        <v>-0.03519381880977743</v>
      </c>
      <c r="AE30" s="28" t="s">
        <v>74</v>
      </c>
      <c r="AF30" s="42">
        <f>IF(X4&lt;W4,1-BINOMDIST(D4-1,D6,X4,TRUE),BINOMDIST(D4,D6,X4,TRUE))</f>
        <v>0.0003400544732288948</v>
      </c>
      <c r="AG30" s="42"/>
    </row>
    <row r="31" spans="1:33" ht="12.75">
      <c r="A31" s="27" t="s">
        <v>20</v>
      </c>
      <c r="F31" s="28" t="s">
        <v>12</v>
      </c>
      <c r="G31" s="34">
        <f>CHIDIST(G30,1)</f>
        <v>0.000858120666393674</v>
      </c>
      <c r="H31" s="35" t="str">
        <f>IF((G31&lt;H2),"s","ns")</f>
        <v>s</v>
      </c>
      <c r="J31" s="28"/>
      <c r="K31" s="34"/>
      <c r="L31" s="35"/>
      <c r="N31" s="67" t="s">
        <v>12</v>
      </c>
      <c r="O31" s="37">
        <f>CHIDIST(O30,1)</f>
        <v>0.0010882173049342834</v>
      </c>
      <c r="P31" s="77" t="str">
        <f>IF((O31&lt;$H$2),"s","ns")</f>
        <v>s</v>
      </c>
      <c r="R31" s="28" t="s">
        <v>12</v>
      </c>
      <c r="S31" s="34">
        <f>CHIDIST(S30,1)</f>
        <v>0.0004951752688328738</v>
      </c>
      <c r="T31" s="35" t="str">
        <f>IF((S31&lt;$H$2),"s","ns")</f>
        <v>s</v>
      </c>
      <c r="V31" s="35" t="s">
        <v>42</v>
      </c>
      <c r="W31" s="48">
        <f>W28-W29</f>
        <v>0.1287653312036807</v>
      </c>
      <c r="X31" s="42">
        <f>W31-X4</f>
        <v>-0.1212346687963193</v>
      </c>
      <c r="Z31" s="70" t="s">
        <v>42</v>
      </c>
      <c r="AA31" s="48">
        <f>MIN(W4,MAX(AB31,0))</f>
        <v>0.12728513988639736</v>
      </c>
      <c r="AB31" s="61">
        <f>W28-($J$2*SQRT(AB11-AB12)+1)/AB10</f>
        <v>0.12728513988639736</v>
      </c>
      <c r="AC31" s="69">
        <f>AA31-X4</f>
        <v>-0.12271486011360264</v>
      </c>
      <c r="AE31" s="28" t="s">
        <v>75</v>
      </c>
      <c r="AF31" s="28" t="str">
        <f>IF(AF30&lt;0.025,"s+",IF(AF30&gt;0.925,"s-","ns"))</f>
        <v>s+</v>
      </c>
      <c r="AG31" s="28"/>
    </row>
    <row r="32" spans="1:33" ht="12.75">
      <c r="A32" s="27"/>
      <c r="F32" s="28" t="s">
        <v>137</v>
      </c>
      <c r="G32" s="42">
        <f>SQRT((G28*X4+G29*X5)/(2*D6))</f>
        <v>0.08333333333333333</v>
      </c>
      <c r="H32" s="28"/>
      <c r="J32" s="28"/>
      <c r="K32" s="34"/>
      <c r="L32" s="35"/>
      <c r="N32" s="67"/>
      <c r="O32" s="37"/>
      <c r="P32" s="77"/>
      <c r="R32" s="28"/>
      <c r="S32" s="34"/>
      <c r="T32" s="35"/>
      <c r="V32" s="28"/>
      <c r="W32" s="46" t="str">
        <f>IF($X4&gt;W30,"s+",IF($X4&lt;W31,"s-","ns"))</f>
        <v>s+</v>
      </c>
      <c r="X32" s="42"/>
      <c r="Z32" s="67"/>
      <c r="AA32" s="32" t="str">
        <f>IF($X4&gt;AB30,"s+",IF($X4&lt;AB31,"s-","ns"))</f>
        <v>s+</v>
      </c>
      <c r="AB32" s="38"/>
      <c r="AC32" s="68"/>
      <c r="AE32" s="28" t="s">
        <v>76</v>
      </c>
      <c r="AF32" s="28" t="str">
        <f>IF(AF30&lt;0.005,"s+",IF(AF30&gt;0.995,"s-","ns"))</f>
        <v>s+</v>
      </c>
      <c r="AG32" s="28"/>
    </row>
    <row r="33" spans="6:33" ht="12.75">
      <c r="F33" s="28"/>
      <c r="G33" s="28"/>
      <c r="H33" s="28"/>
      <c r="J33" s="28"/>
      <c r="K33" s="28"/>
      <c r="L33" s="28"/>
      <c r="N33" s="67"/>
      <c r="O33" s="38"/>
      <c r="P33" s="68"/>
      <c r="R33" s="28"/>
      <c r="S33" s="28"/>
      <c r="T33" s="28"/>
      <c r="V33" s="28"/>
      <c r="W33" s="28"/>
      <c r="X33" s="42"/>
      <c r="Z33" s="67"/>
      <c r="AA33" s="38"/>
      <c r="AB33" s="38"/>
      <c r="AC33" s="68"/>
      <c r="AE33" s="28"/>
      <c r="AF33" s="28"/>
      <c r="AG33" s="28"/>
    </row>
    <row r="34" spans="6:33" ht="12.75">
      <c r="F34" s="28" t="s">
        <v>24</v>
      </c>
      <c r="G34" s="28"/>
      <c r="H34" s="28"/>
      <c r="J34" s="28" t="s">
        <v>37</v>
      </c>
      <c r="K34" s="28"/>
      <c r="L34" s="28"/>
      <c r="N34" s="71" t="s">
        <v>64</v>
      </c>
      <c r="O34" s="72"/>
      <c r="P34" s="73"/>
      <c r="R34" s="28" t="s">
        <v>32</v>
      </c>
      <c r="S34" s="28"/>
      <c r="T34" s="28"/>
      <c r="V34" s="28" t="s">
        <v>65</v>
      </c>
      <c r="W34" s="28"/>
      <c r="X34" s="28"/>
      <c r="Z34" s="71" t="s">
        <v>64</v>
      </c>
      <c r="AA34" s="72"/>
      <c r="AB34" s="72"/>
      <c r="AC34" s="73"/>
      <c r="AE34" s="87" t="s">
        <v>78</v>
      </c>
      <c r="AF34" s="28"/>
      <c r="AG34" s="28"/>
    </row>
    <row r="35" spans="6:8" ht="12.75">
      <c r="F35" s="104"/>
      <c r="G35" s="104"/>
      <c r="H35" s="104"/>
    </row>
    <row r="36" spans="6:31" ht="12.75">
      <c r="F36" s="106"/>
      <c r="G36" s="107"/>
      <c r="H36" s="108"/>
      <c r="V36" t="s">
        <v>99</v>
      </c>
      <c r="W36" s="54"/>
      <c r="Z36" t="s">
        <v>102</v>
      </c>
      <c r="AA36" s="54"/>
      <c r="AE36" t="s">
        <v>90</v>
      </c>
    </row>
    <row r="37" spans="6:32" ht="12.75">
      <c r="F37" s="106"/>
      <c r="G37" s="109"/>
      <c r="H37" s="109"/>
      <c r="V37" t="s">
        <v>98</v>
      </c>
      <c r="W37" s="54">
        <f>W16</f>
        <v>-0.16666666666666666</v>
      </c>
      <c r="Z37" t="s">
        <v>98</v>
      </c>
      <c r="AA37" s="54">
        <f>AA16</f>
        <v>-0.16666666666666666</v>
      </c>
      <c r="AE37" t="s">
        <v>88</v>
      </c>
      <c r="AF37" t="s">
        <v>89</v>
      </c>
    </row>
    <row r="38" spans="2:32" ht="15">
      <c r="B38" s="1" t="s">
        <v>17</v>
      </c>
      <c r="F38" s="104"/>
      <c r="G38" s="104"/>
      <c r="H38" s="104"/>
      <c r="V38" t="s">
        <v>87</v>
      </c>
      <c r="W38" s="54">
        <f>W37-W14</f>
        <v>-0.23358824828739116</v>
      </c>
      <c r="Z38" t="s">
        <v>87</v>
      </c>
      <c r="AA38" s="54">
        <f>AA37-AA14</f>
        <v>-0.235836824519999</v>
      </c>
      <c r="AD38" t="s">
        <v>100</v>
      </c>
      <c r="AE38" s="54">
        <f>ABS(W15)</f>
        <v>0.06885738384266026</v>
      </c>
      <c r="AF38" s="54">
        <f>ABS(AA15)</f>
        <v>0.07124420408873876</v>
      </c>
    </row>
    <row r="39" spans="2:32" ht="12.75">
      <c r="B39" s="11" t="s">
        <v>16</v>
      </c>
      <c r="V39" t="s">
        <v>86</v>
      </c>
      <c r="W39" s="54">
        <f>W37-W15</f>
        <v>-0.0978092828240064</v>
      </c>
      <c r="Z39" t="s">
        <v>86</v>
      </c>
      <c r="AA39" s="54">
        <f>AA37-AA15</f>
        <v>-0.0954224625779279</v>
      </c>
      <c r="AD39" t="s">
        <v>101</v>
      </c>
      <c r="AE39" s="54">
        <f>ABS(W14)</f>
        <v>0.06692158162072452</v>
      </c>
      <c r="AF39" s="54">
        <f>ABS(AA14)</f>
        <v>0.06917015785333233</v>
      </c>
    </row>
    <row r="41" spans="2:26" ht="12.75">
      <c r="B41" t="s">
        <v>25</v>
      </c>
      <c r="V41" s="105" t="s">
        <v>125</v>
      </c>
      <c r="Z41" t="s">
        <v>114</v>
      </c>
    </row>
    <row r="42" ht="12.75">
      <c r="B42" t="s">
        <v>83</v>
      </c>
    </row>
    <row r="43" spans="22:28" ht="12.75">
      <c r="V43" t="s">
        <v>124</v>
      </c>
      <c r="W43" s="13" t="s">
        <v>2</v>
      </c>
      <c r="X43" s="103" t="s">
        <v>6</v>
      </c>
      <c r="AA43" s="54" t="str">
        <f>W43</f>
        <v>b</v>
      </c>
      <c r="AB43" s="54" t="str">
        <f>X43</f>
        <v>¬b</v>
      </c>
    </row>
    <row r="44" spans="2:28" ht="12.75">
      <c r="B44" t="s">
        <v>61</v>
      </c>
      <c r="V44" t="s">
        <v>120</v>
      </c>
      <c r="W44" s="54">
        <f>C4/E4</f>
        <v>0.6666666666666666</v>
      </c>
      <c r="X44" s="54">
        <f>C5/E5</f>
        <v>0.4444444444444444</v>
      </c>
      <c r="AA44" s="54">
        <f>W44</f>
        <v>0.6666666666666666</v>
      </c>
      <c r="AB44" s="54">
        <f>X44</f>
        <v>0.4444444444444444</v>
      </c>
    </row>
    <row r="45" spans="22:28" ht="12.75">
      <c r="V45" t="s">
        <v>118</v>
      </c>
      <c r="W45" s="54">
        <f>$J$2*$J$2/E4</f>
        <v>0.025609725471294156</v>
      </c>
      <c r="X45" s="54">
        <f>$J$2*$J$2/E5</f>
        <v>0.008536575157098053</v>
      </c>
      <c r="Z45" t="str">
        <f>Z10</f>
        <v>2(n+z²)</v>
      </c>
      <c r="AA45">
        <f>2*(E4+$J$2*$J$2)</f>
        <v>307.68291764138826</v>
      </c>
      <c r="AB45">
        <f>2*(E5+$J$2*$J$2)</f>
        <v>907.6829176413883</v>
      </c>
    </row>
    <row r="46" spans="2:28" ht="12.75">
      <c r="B46" t="s">
        <v>63</v>
      </c>
      <c r="V46" t="s">
        <v>39</v>
      </c>
      <c r="W46" s="54">
        <f>(W44+W45/2)/(1+W45)</f>
        <v>0.6625049592719872</v>
      </c>
      <c r="X46" s="54">
        <f>(X44+X45/2)/(1+X45)</f>
        <v>0.4449146843812761</v>
      </c>
      <c r="Z46" t="str">
        <f>Z11</f>
        <v>z²-1/n+4npq</v>
      </c>
      <c r="AA46">
        <f>$J$2*$J$2-1/E4+4*E4*AA44*(1-AA44)</f>
        <v>137.1681254873608</v>
      </c>
      <c r="AB46">
        <f>$J$2*$J$2-1/E5+4*E5*AB44*(1-AB44)</f>
        <v>448.2836810429164</v>
      </c>
    </row>
    <row r="47" spans="2:28" ht="12.75">
      <c r="B47" t="s">
        <v>47</v>
      </c>
      <c r="C47" t="s">
        <v>128</v>
      </c>
      <c r="V47" t="s">
        <v>68</v>
      </c>
      <c r="W47" s="54">
        <f>$J$2*SQRT((W44*(1-W44)+W45/4)/E4)/(1+W45)</f>
        <v>0.07460739240413672</v>
      </c>
      <c r="X47" s="54">
        <f>$J$2*SQRT((X44*(1-X44)+X45/4)/E5)/(1+X45)</f>
        <v>0.04571844704717957</v>
      </c>
      <c r="Z47" t="str">
        <f>Z12</f>
        <v>2-4p</v>
      </c>
      <c r="AA47">
        <f>2-4*AA44</f>
        <v>-0.6666666666666665</v>
      </c>
      <c r="AB47">
        <f>2-4*AB44</f>
        <v>0.22222222222222232</v>
      </c>
    </row>
    <row r="48" spans="3:28" ht="12.75">
      <c r="C48" t="s">
        <v>133</v>
      </c>
      <c r="V48" t="s">
        <v>109</v>
      </c>
      <c r="W48" s="54">
        <f>W46-W47</f>
        <v>0.5878975668678504</v>
      </c>
      <c r="X48" s="54">
        <f>X46-X47</f>
        <v>0.39919623733409654</v>
      </c>
      <c r="Z48" t="s">
        <v>109</v>
      </c>
      <c r="AA48" s="54">
        <f>MAX(0,MIN(W46,W46-($J$2*SQRT(AA46-AA47)+1)/AA45))</f>
        <v>0.5844682008100726</v>
      </c>
      <c r="AB48" s="54">
        <f>MAX(0,MIN(X46,X46-($J$2*SQRT(AB46-AB47)+1)/AB45))</f>
        <v>0.39810597744026543</v>
      </c>
    </row>
    <row r="49" spans="3:28" ht="12.75">
      <c r="C49" t="s">
        <v>129</v>
      </c>
      <c r="V49" t="s">
        <v>110</v>
      </c>
      <c r="W49" s="54">
        <f>W46+W47</f>
        <v>0.7371123516761239</v>
      </c>
      <c r="X49" s="54">
        <f>X46+X47</f>
        <v>0.4906331314284557</v>
      </c>
      <c r="Z49" t="s">
        <v>110</v>
      </c>
      <c r="AA49" s="54">
        <f>MIN(1,MAX(W46,W46+($J$2*SQRT(AA46+AA47)+1)/AA45))</f>
        <v>0.740179117460424</v>
      </c>
      <c r="AB49" s="54">
        <f>MIN(1,MAX(X46,X46+($J$2*SQRT(AB46+AB47)+1)/AB45))</f>
        <v>0.49174605471705124</v>
      </c>
    </row>
    <row r="50" spans="3:28" ht="12.75">
      <c r="C50" t="s">
        <v>138</v>
      </c>
      <c r="V50" t="s">
        <v>119</v>
      </c>
      <c r="W50" s="54">
        <f>-SQRT((W48-W44)^2+(X49-X44)^2)</f>
        <v>-0.09131246294139064</v>
      </c>
      <c r="X50" s="54">
        <f>SQRT((X48-X44)^2+(W49-W44)^2)</f>
        <v>0.08372571160135102</v>
      </c>
      <c r="AA50" s="54">
        <f>-SQRT((AA48-AA44)^2+(AB49-AB44)^2)</f>
        <v>-0.09483686057414198</v>
      </c>
      <c r="AB50" s="54">
        <f>SQRT((AB48-AB44)^2+(AA49-AA44)^2)</f>
        <v>0.0868984116425725</v>
      </c>
    </row>
    <row r="51" spans="3:24" ht="12.75">
      <c r="C51" t="s">
        <v>46</v>
      </c>
      <c r="W51" s="54"/>
      <c r="X51" s="54"/>
    </row>
    <row r="52" spans="2:27" ht="12.75">
      <c r="B52" t="s">
        <v>49</v>
      </c>
      <c r="C52" t="s">
        <v>62</v>
      </c>
      <c r="V52" t="s">
        <v>117</v>
      </c>
      <c r="W52" s="54">
        <f>X44-W44</f>
        <v>-0.2222222222222222</v>
      </c>
      <c r="X52" s="54"/>
      <c r="AA52" s="54">
        <f>AB44-AA44</f>
        <v>-0.2222222222222222</v>
      </c>
    </row>
    <row r="53" spans="2:27" ht="12.75">
      <c r="B53" t="s">
        <v>50</v>
      </c>
      <c r="C53" t="s">
        <v>130</v>
      </c>
      <c r="V53" t="s">
        <v>87</v>
      </c>
      <c r="W53" s="54">
        <f>W52-X50</f>
        <v>-0.3059479338235732</v>
      </c>
      <c r="X53" s="54"/>
      <c r="AA53" s="54">
        <f>AA52-AB50</f>
        <v>-0.3091206338647947</v>
      </c>
    </row>
    <row r="54" spans="22:27" ht="12.75">
      <c r="V54" t="s">
        <v>86</v>
      </c>
      <c r="W54" s="54">
        <f>W52-W50</f>
        <v>-0.13090975928083157</v>
      </c>
      <c r="X54" s="54"/>
      <c r="AA54" s="54">
        <f>AA52-AA50</f>
        <v>-0.12738536164808023</v>
      </c>
    </row>
    <row r="55" spans="2:27" ht="12.75">
      <c r="B55" t="s">
        <v>131</v>
      </c>
      <c r="W55" s="54"/>
      <c r="X55" s="54"/>
      <c r="AA55" s="54"/>
    </row>
    <row r="56" spans="2:27" ht="12.75">
      <c r="B56" t="s">
        <v>48</v>
      </c>
      <c r="C56" t="s">
        <v>146</v>
      </c>
      <c r="V56" s="100" t="s">
        <v>121</v>
      </c>
      <c r="W56" s="54">
        <f>IF(SIGN(W39)=SIGN(W54),-SIGN(W39)*SQRT(W39*W54),-(W39+W54)/2)</f>
        <v>0.1131555993750263</v>
      </c>
      <c r="X56" s="54"/>
      <c r="AA56" s="54">
        <f>IF(SIGN(AA39)=SIGN(AA54),-SIGN(AA39)*SQRT(AA39*AA54),-(AA39+AA54)/2)</f>
        <v>0.11025164354711338</v>
      </c>
    </row>
    <row r="57" spans="2:27" ht="12.75">
      <c r="B57" t="s">
        <v>55</v>
      </c>
      <c r="C57" t="s">
        <v>132</v>
      </c>
      <c r="V57" s="100" t="s">
        <v>122</v>
      </c>
      <c r="W57" s="54">
        <f>IF(SIGN(W38)=SIGN(W53),-SIGN(W38)*SQRT(W53*W38),-(W38+W53)/2)</f>
        <v>0.26733095954078184</v>
      </c>
      <c r="X57" s="54"/>
      <c r="AA57" s="54">
        <f>IF(SIGN(AA38)=SIGN(AA53),-SIGN(AA38)*SQRT(AA53*AA38),-(AA38+AA53)/2)</f>
        <v>0.2700037567966091</v>
      </c>
    </row>
    <row r="58" spans="2:3" ht="12.75">
      <c r="B58" t="s">
        <v>79</v>
      </c>
      <c r="C58" t="s">
        <v>82</v>
      </c>
    </row>
    <row r="59" spans="22:27" ht="12.75">
      <c r="V59" t="s">
        <v>36</v>
      </c>
      <c r="W59" s="54">
        <f>IF(V4=0,$AA$59,IF(V4=1,1-$AA$59,V4))</f>
        <v>0.3333333333333333</v>
      </c>
      <c r="X59" s="54">
        <f>IF(W4=0,$AA$59,IF(W4=1,1-$AA$59,W4))</f>
        <v>0.16666666666666666</v>
      </c>
      <c r="Z59" t="s">
        <v>134</v>
      </c>
      <c r="AA59">
        <v>1E-10</v>
      </c>
    </row>
    <row r="60" spans="2:28" ht="12.75">
      <c r="B60" t="s">
        <v>97</v>
      </c>
      <c r="V60" t="s">
        <v>109</v>
      </c>
      <c r="W60" s="54">
        <f>IF(W24=0,$AA$59,IF(W24=1,1-$AA$59,W24))</f>
        <v>0.2823934472922627</v>
      </c>
      <c r="X60" s="54">
        <f>IF(W31=0,$AA$59,IF(W31=1,1-$AA$59,W31))</f>
        <v>0.1287653312036807</v>
      </c>
      <c r="AA60" s="54">
        <f>IF(AA24=0,$AA$59,IF(AA24=1,1-$AA$59,AA24))</f>
        <v>0.2808135869737572</v>
      </c>
      <c r="AB60" s="54">
        <f>IF(AA31=0,$AA$59,IF(AA31=1,1-$AA$59,AA31))</f>
        <v>0.12728513988639736</v>
      </c>
    </row>
    <row r="61" spans="22:28" ht="12.75">
      <c r="V61" s="113" t="s">
        <v>110</v>
      </c>
      <c r="W61" s="54">
        <f>IF(W23=0,$AA$59,IF(W23=1,1-$AA$59,W23))</f>
        <v>0.38848754311591926</v>
      </c>
      <c r="X61" s="54">
        <f>IF(W30=0,$AA$59,IF(W30=1,1-$AA$59,W30))</f>
        <v>0.21299664961268325</v>
      </c>
      <c r="AA61" s="54">
        <f>IF(AA23=0,$AA$59,IF(AA23=1,1-$AA$59,AA23))</f>
        <v>0.39019813866940956</v>
      </c>
      <c r="AB61" s="54">
        <f>IF(AA30=0,$AA$59,IF(AA30=1,1-$AA$59,AA30))</f>
        <v>0.21480618119022257</v>
      </c>
    </row>
    <row r="62" spans="2:12" ht="12.75">
      <c r="B62" t="s">
        <v>66</v>
      </c>
      <c r="C62" t="s">
        <v>93</v>
      </c>
      <c r="L62" t="s">
        <v>96</v>
      </c>
    </row>
    <row r="63" spans="3:28" ht="12.75">
      <c r="C63" t="s">
        <v>94</v>
      </c>
      <c r="L63" t="s">
        <v>95</v>
      </c>
      <c r="V63" s="11" t="s">
        <v>104</v>
      </c>
      <c r="W63" s="11" t="s">
        <v>106</v>
      </c>
      <c r="X63" s="11" t="s">
        <v>107</v>
      </c>
      <c r="Z63" t="s">
        <v>114</v>
      </c>
      <c r="AA63" t="str">
        <f>W63</f>
        <v>p1</v>
      </c>
      <c r="AB63" t="str">
        <f>X63</f>
        <v>p2</v>
      </c>
    </row>
    <row r="64" spans="3:28" ht="12.75">
      <c r="C64" t="s">
        <v>92</v>
      </c>
      <c r="L64" t="s">
        <v>91</v>
      </c>
      <c r="V64" s="11"/>
      <c r="W64" s="11">
        <f aca="true" t="shared" si="0" ref="W64:X66">W59/(1-W59)</f>
        <v>0.4999999999999999</v>
      </c>
      <c r="X64" s="11">
        <f t="shared" si="0"/>
        <v>0.19999999999999998</v>
      </c>
      <c r="AA64">
        <f>W64</f>
        <v>0.4999999999999999</v>
      </c>
      <c r="AB64">
        <f>X64</f>
        <v>0.19999999999999998</v>
      </c>
    </row>
    <row r="65" spans="3:28" ht="12.75">
      <c r="C65" t="s">
        <v>127</v>
      </c>
      <c r="L65" t="s">
        <v>126</v>
      </c>
      <c r="V65" t="s">
        <v>109</v>
      </c>
      <c r="W65" s="54">
        <f t="shared" si="0"/>
        <v>0.3935212774001442</v>
      </c>
      <c r="X65" s="54">
        <f t="shared" si="0"/>
        <v>0.14779638117658972</v>
      </c>
      <c r="Y65" s="54"/>
      <c r="Z65" s="112">
        <f>X65</f>
        <v>0.14779638117658972</v>
      </c>
      <c r="AA65" s="54">
        <f>AA60/(1-AA60)</f>
        <v>0.3904600836271783</v>
      </c>
      <c r="AB65" s="54">
        <f>AB60/(1-AB60)</f>
        <v>0.1458496305079857</v>
      </c>
    </row>
    <row r="66" spans="22:28" ht="12.75">
      <c r="V66" t="s">
        <v>110</v>
      </c>
      <c r="W66" s="54">
        <f t="shared" si="0"/>
        <v>0.6352896637550616</v>
      </c>
      <c r="X66" s="54">
        <f t="shared" si="0"/>
        <v>0.27064262116274196</v>
      </c>
      <c r="Y66" s="54"/>
      <c r="Z66" s="54"/>
      <c r="AA66" s="54">
        <f>AA61/(1-AA61)</f>
        <v>0.6398769230024904</v>
      </c>
      <c r="AB66" s="54">
        <f>AB61/(1-AB61)</f>
        <v>0.27357090191544403</v>
      </c>
    </row>
    <row r="67" spans="23:27" ht="12.75">
      <c r="W67" s="54"/>
      <c r="X67" s="54"/>
      <c r="Y67" s="54"/>
      <c r="Z67" s="54"/>
      <c r="AA67" s="54"/>
    </row>
    <row r="68" spans="22:28" ht="12.75">
      <c r="V68" s="92" t="s">
        <v>105</v>
      </c>
      <c r="W68" s="93">
        <f aca="true" t="shared" si="1" ref="W68:X70">LN(W64)</f>
        <v>-0.6931471805599455</v>
      </c>
      <c r="X68" s="93">
        <f>LN(X64)</f>
        <v>-1.6094379124341005</v>
      </c>
      <c r="Y68" s="93"/>
      <c r="Z68" s="93"/>
      <c r="AA68" s="93">
        <f aca="true" t="shared" si="2" ref="AA68:AB70">LN(AA64)</f>
        <v>-0.6931471805599455</v>
      </c>
      <c r="AB68" s="92">
        <f t="shared" si="2"/>
        <v>-1.6094379124341005</v>
      </c>
    </row>
    <row r="69" spans="22:28" ht="12.75">
      <c r="V69" s="94" t="s">
        <v>109</v>
      </c>
      <c r="W69" s="93">
        <f t="shared" si="1"/>
        <v>-0.9326201404133518</v>
      </c>
      <c r="X69" s="93">
        <f>LN(X65)</f>
        <v>-1.9119197553646101</v>
      </c>
      <c r="Y69" s="95"/>
      <c r="Z69" s="95"/>
      <c r="AA69" s="93">
        <f t="shared" si="2"/>
        <v>-0.9404295335514593</v>
      </c>
      <c r="AB69" s="93">
        <f t="shared" si="2"/>
        <v>-1.9251791160416143</v>
      </c>
    </row>
    <row r="70" spans="22:29" ht="12.75">
      <c r="V70" s="95" t="s">
        <v>110</v>
      </c>
      <c r="W70" s="93">
        <f t="shared" si="1"/>
        <v>-0.4536742207065391</v>
      </c>
      <c r="X70" s="93">
        <f t="shared" si="1"/>
        <v>-1.3069560695035911</v>
      </c>
      <c r="Y70" s="95"/>
      <c r="Z70" s="95"/>
      <c r="AA70" s="93">
        <f t="shared" si="2"/>
        <v>-0.4464794289305458</v>
      </c>
      <c r="AB70" s="93">
        <f t="shared" si="2"/>
        <v>-1.2961944515378165</v>
      </c>
      <c r="AC70" s="54"/>
    </row>
    <row r="71" spans="22:28" ht="12.75">
      <c r="V71" s="95" t="s">
        <v>111</v>
      </c>
      <c r="W71" s="95">
        <f>SQRT((W68-W69)^2+(X68-X70)^2)</f>
        <v>0.3858011972552554</v>
      </c>
      <c r="X71" s="95">
        <f>SQRT((W68-W70)^2+(X68-X69)^2)</f>
        <v>0.38580119725525563</v>
      </c>
      <c r="Y71" s="95"/>
      <c r="Z71" s="95"/>
      <c r="AA71" s="95">
        <f>SQRT((AA68-AA69)^2+(AB68-AB70)^2)</f>
        <v>0.39908649174746746</v>
      </c>
      <c r="AB71" s="95">
        <f>SQRT((AA68-AA70)^2+(AB68-AB69)^2)</f>
        <v>0.4006712958890675</v>
      </c>
    </row>
    <row r="72" spans="22:28" ht="12.75">
      <c r="V72" s="95" t="s">
        <v>112</v>
      </c>
      <c r="W72" s="96">
        <f>W68-X68-W71</f>
        <v>0.5304895346188996</v>
      </c>
      <c r="X72" s="96"/>
      <c r="Y72" s="96"/>
      <c r="Z72" s="96"/>
      <c r="AA72" s="96">
        <f>AA68-AB68-AA71</f>
        <v>0.5172042401266875</v>
      </c>
      <c r="AB72" s="95"/>
    </row>
    <row r="73" spans="22:28" ht="12.75">
      <c r="V73" s="95" t="s">
        <v>113</v>
      </c>
      <c r="W73" s="96">
        <f>W68-X68+X71</f>
        <v>1.3020919291294106</v>
      </c>
      <c r="X73" s="96"/>
      <c r="Y73" s="96"/>
      <c r="Z73" s="96"/>
      <c r="AA73" s="96">
        <f>AA68-AB68+AB71</f>
        <v>1.3169620277632226</v>
      </c>
      <c r="AB73" s="95"/>
    </row>
    <row r="74" spans="23:27" ht="12.75">
      <c r="W74" s="54"/>
      <c r="X74" s="54"/>
      <c r="Y74" s="54"/>
      <c r="Z74" s="54"/>
      <c r="AA74" s="54"/>
    </row>
    <row r="75" spans="22:28" ht="12.75">
      <c r="V75" s="11" t="s">
        <v>108</v>
      </c>
      <c r="W75" s="90">
        <f>W64/X64</f>
        <v>2.4999999999999996</v>
      </c>
      <c r="X75" s="54"/>
      <c r="Y75" s="54"/>
      <c r="Z75" s="90"/>
      <c r="AA75" s="90">
        <f>AA64/AB64</f>
        <v>2.4999999999999996</v>
      </c>
      <c r="AB75" s="54"/>
    </row>
    <row r="76" spans="22:28" ht="12.75">
      <c r="V76" t="s">
        <v>115</v>
      </c>
      <c r="W76" s="97">
        <f>EXP(W72)</f>
        <v>1.6997641984015972</v>
      </c>
      <c r="X76" s="97"/>
      <c r="Y76" s="97"/>
      <c r="Z76" s="97"/>
      <c r="AA76" s="97">
        <f>EXP(AA72)</f>
        <v>1.6773316717621503</v>
      </c>
      <c r="AB76" s="98"/>
    </row>
    <row r="77" spans="22:27" ht="12.75">
      <c r="V77" t="s">
        <v>116</v>
      </c>
      <c r="W77" s="91">
        <f>EXP(W73)</f>
        <v>3.676980610532506</v>
      </c>
      <c r="X77" s="54"/>
      <c r="Y77" s="54"/>
      <c r="Z77" s="54"/>
      <c r="AA77" s="91">
        <f>EXP(AA73)</f>
        <v>3.7320662240995275</v>
      </c>
    </row>
    <row r="78" spans="23:27" ht="12.75">
      <c r="W78" t="str">
        <f>IF(OR(W76&gt;1,W77&lt;1),"s","ns")</f>
        <v>s</v>
      </c>
      <c r="AA78" t="str">
        <f>IF(OR(AA76&gt;1,AA77&lt;1),"s","ns")</f>
        <v>s</v>
      </c>
    </row>
    <row r="80" spans="22:29" ht="12.75">
      <c r="V80" t="s">
        <v>141</v>
      </c>
      <c r="W80" s="41">
        <f>V4</f>
        <v>0.3333333333333333</v>
      </c>
      <c r="X80" s="41">
        <f>W4</f>
        <v>0.16666666666666666</v>
      </c>
      <c r="Z80" s="114"/>
      <c r="AA80" s="115"/>
      <c r="AB80" s="115"/>
      <c r="AC80" s="114"/>
    </row>
    <row r="81" spans="22:29" ht="12.75">
      <c r="V81" t="s">
        <v>109</v>
      </c>
      <c r="W81" s="54">
        <f>W24</f>
        <v>0.2823934472922627</v>
      </c>
      <c r="X81" s="54">
        <f>W31</f>
        <v>0.1287653312036807</v>
      </c>
      <c r="Z81" s="114"/>
      <c r="AA81" s="115"/>
      <c r="AB81" s="115"/>
      <c r="AC81" s="114"/>
    </row>
    <row r="82" spans="22:29" ht="12.75">
      <c r="V82" t="s">
        <v>110</v>
      </c>
      <c r="W82" s="54">
        <f>W23</f>
        <v>0.38848754311591926</v>
      </c>
      <c r="X82" s="54">
        <f>W30</f>
        <v>0.21299664961268325</v>
      </c>
      <c r="Z82" s="114"/>
      <c r="AA82" s="115"/>
      <c r="AB82" s="115"/>
      <c r="AC82" s="114"/>
    </row>
    <row r="83" spans="26:29" ht="12.75">
      <c r="Z83" s="114"/>
      <c r="AA83" s="114"/>
      <c r="AB83" s="114"/>
      <c r="AC83" s="114"/>
    </row>
    <row r="84" spans="22:29" ht="12.75">
      <c r="V84" s="92" t="s">
        <v>105</v>
      </c>
      <c r="W84" s="93">
        <f aca="true" t="shared" si="3" ref="W84:X86">LN(W80)</f>
        <v>-1.0986122886681098</v>
      </c>
      <c r="X84" s="93">
        <f t="shared" si="3"/>
        <v>-1.791759469228055</v>
      </c>
      <c r="Z84" s="114"/>
      <c r="AA84" s="116"/>
      <c r="AB84" s="116"/>
      <c r="AC84" s="114"/>
    </row>
    <row r="85" spans="22:29" ht="12.75">
      <c r="V85" s="94" t="s">
        <v>109</v>
      </c>
      <c r="W85" s="93">
        <f t="shared" si="3"/>
        <v>-1.264453977271555</v>
      </c>
      <c r="X85" s="93">
        <f t="shared" si="3"/>
        <v>-2.0497636692172905</v>
      </c>
      <c r="Z85" s="114"/>
      <c r="AA85" s="116"/>
      <c r="AB85" s="116"/>
      <c r="AC85" s="114"/>
    </row>
    <row r="86" spans="22:29" ht="12.75">
      <c r="V86" s="95" t="s">
        <v>110</v>
      </c>
      <c r="W86" s="93">
        <f t="shared" si="3"/>
        <v>-0.9454941737401855</v>
      </c>
      <c r="X86" s="93">
        <f t="shared" si="3"/>
        <v>-1.5464788429143412</v>
      </c>
      <c r="Z86" s="114"/>
      <c r="AA86" s="116"/>
      <c r="AB86" s="116"/>
      <c r="AC86" s="114"/>
    </row>
    <row r="87" spans="22:29" ht="12.75">
      <c r="V87" s="95" t="s">
        <v>111</v>
      </c>
      <c r="W87" s="95">
        <f>SQRT((W84-W85)^2+(X84-X86)^2)</f>
        <v>0.2960845340839163</v>
      </c>
      <c r="X87" s="95">
        <f>SQRT((W84-W86)^2+(X84-X85)^2)</f>
        <v>0.30001887329160887</v>
      </c>
      <c r="Z87" s="114"/>
      <c r="AA87" s="117"/>
      <c r="AB87" s="117"/>
      <c r="AC87" s="114"/>
    </row>
    <row r="88" spans="22:29" ht="12.75">
      <c r="V88" s="95" t="s">
        <v>112</v>
      </c>
      <c r="W88" s="96">
        <f>W84-X84-W87</f>
        <v>0.3970626464760289</v>
      </c>
      <c r="X88" s="96"/>
      <c r="Z88" s="114"/>
      <c r="AA88" s="117"/>
      <c r="AB88" s="117"/>
      <c r="AC88" s="114"/>
    </row>
    <row r="89" spans="22:29" ht="12.75">
      <c r="V89" s="95" t="s">
        <v>113</v>
      </c>
      <c r="W89" s="96">
        <f>W84-X84+X87</f>
        <v>0.9931660538515541</v>
      </c>
      <c r="X89" s="96"/>
      <c r="Z89" s="114"/>
      <c r="AA89" s="117"/>
      <c r="AB89" s="117"/>
      <c r="AC89" s="114"/>
    </row>
    <row r="90" spans="26:29" ht="12.75">
      <c r="Z90" s="114"/>
      <c r="AA90" s="114"/>
      <c r="AB90" s="114"/>
      <c r="AC90" s="114"/>
    </row>
    <row r="91" spans="22:29" ht="12.75">
      <c r="V91" s="11" t="s">
        <v>140</v>
      </c>
      <c r="W91" s="90">
        <f>W80/X80</f>
        <v>2</v>
      </c>
      <c r="Z91" s="118"/>
      <c r="AA91" s="116"/>
      <c r="AB91" s="114"/>
      <c r="AC91" s="114"/>
    </row>
    <row r="92" spans="22:29" ht="12.75">
      <c r="V92" t="s">
        <v>115</v>
      </c>
      <c r="W92" s="97">
        <f>EXP(W88)</f>
        <v>1.4874491105776104</v>
      </c>
      <c r="Z92" s="114"/>
      <c r="AA92" s="117"/>
      <c r="AB92" s="114"/>
      <c r="AC92" s="114"/>
    </row>
    <row r="93" spans="22:29" ht="12.75">
      <c r="V93" t="s">
        <v>116</v>
      </c>
      <c r="W93" s="91">
        <f>EXP(W89)</f>
        <v>2.6997685681906427</v>
      </c>
      <c r="Z93" s="114"/>
      <c r="AA93" s="117"/>
      <c r="AB93" s="114"/>
      <c r="AC93" s="114"/>
    </row>
    <row r="94" spans="23:29" ht="12.75">
      <c r="W94" t="str">
        <f>IF(OR(W92&gt;1,W93&lt;1),"s","ns")</f>
        <v>s</v>
      </c>
      <c r="Z94" s="114"/>
      <c r="AA94" s="114"/>
      <c r="AB94" s="114"/>
      <c r="AC94" s="114"/>
    </row>
    <row r="95" spans="26:29" ht="12.75">
      <c r="Z95" s="114"/>
      <c r="AA95" s="114"/>
      <c r="AB95" s="114"/>
      <c r="AC95" s="114"/>
    </row>
    <row r="96" spans="22:29" ht="12.75">
      <c r="V96" t="s">
        <v>139</v>
      </c>
      <c r="W96">
        <f>1/W91-1</f>
        <v>-0.5</v>
      </c>
      <c r="Z96" s="114"/>
      <c r="AA96" s="114"/>
      <c r="AB96" s="114"/>
      <c r="AC96" s="114"/>
    </row>
    <row r="97" ht="12.75">
      <c r="W97">
        <f>1/W93-1</f>
        <v>-0.6295978804323255</v>
      </c>
    </row>
    <row r="98" ht="12.75">
      <c r="W98">
        <f>1/W92-1</f>
        <v>-0.3277080924054758</v>
      </c>
    </row>
  </sheetData>
  <sheetProtection/>
  <mergeCells count="2">
    <mergeCell ref="A4:A5"/>
    <mergeCell ref="C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2.00390625" style="0" customWidth="1"/>
    <col min="2" max="2" width="8.57421875" style="0" customWidth="1"/>
    <col min="6" max="6" width="9.7109375" style="0" customWidth="1"/>
    <col min="7" max="7" width="11.00390625" style="0" customWidth="1"/>
    <col min="9" max="9" width="3.7109375" style="0" customWidth="1"/>
    <col min="13" max="13" width="3.7109375" style="0" customWidth="1"/>
    <col min="14" max="14" width="9.7109375" style="0" customWidth="1"/>
    <col min="16" max="16" width="10.00390625" style="0" customWidth="1"/>
    <col min="17" max="17" width="3.7109375" style="0" customWidth="1"/>
    <col min="21" max="21" width="3.7109375" style="0" customWidth="1"/>
    <col min="25" max="25" width="3.7109375" style="0" customWidth="1"/>
    <col min="26" max="26" width="12.28125" style="0" customWidth="1"/>
    <col min="30" max="30" width="3.28125" style="0" customWidth="1"/>
    <col min="31" max="31" width="12.421875" style="0" customWidth="1"/>
  </cols>
  <sheetData>
    <row r="1" ht="15">
      <c r="B1" s="1" t="s">
        <v>18</v>
      </c>
    </row>
    <row r="2" spans="1:26" ht="15">
      <c r="A2" s="2" t="s">
        <v>0</v>
      </c>
      <c r="C2" s="122" t="s">
        <v>4</v>
      </c>
      <c r="D2" s="122"/>
      <c r="G2" t="s">
        <v>123</v>
      </c>
      <c r="H2" s="101">
        <v>0.05</v>
      </c>
      <c r="I2" t="s">
        <v>38</v>
      </c>
      <c r="J2" s="102">
        <f>NORMSINV(1-(H2/2))</f>
        <v>1.9599639845400536</v>
      </c>
      <c r="V2" t="s">
        <v>45</v>
      </c>
      <c r="Z2" t="s">
        <v>67</v>
      </c>
    </row>
    <row r="3" spans="2:24" ht="12.75">
      <c r="B3" t="s">
        <v>10</v>
      </c>
      <c r="C3" s="5" t="s">
        <v>1</v>
      </c>
      <c r="D3" s="5" t="s">
        <v>5</v>
      </c>
      <c r="E3" s="59" t="s">
        <v>7</v>
      </c>
      <c r="O3" s="41"/>
      <c r="R3" s="41"/>
      <c r="S3" s="54"/>
      <c r="V3" s="5" t="str">
        <f>C3</f>
        <v>a</v>
      </c>
      <c r="W3" s="5" t="str">
        <f>D3</f>
        <v>¬a</v>
      </c>
      <c r="X3" t="s">
        <v>43</v>
      </c>
    </row>
    <row r="4" spans="1:27" ht="12.75" customHeight="1">
      <c r="A4" s="121" t="s">
        <v>3</v>
      </c>
      <c r="B4" s="4" t="s">
        <v>2</v>
      </c>
      <c r="C4" s="14">
        <v>100</v>
      </c>
      <c r="D4" s="58">
        <v>50</v>
      </c>
      <c r="E4" s="24">
        <f>SUM(C4:D4)</f>
        <v>150</v>
      </c>
      <c r="G4" s="26" t="s">
        <v>15</v>
      </c>
      <c r="U4" s="8" t="s">
        <v>36</v>
      </c>
      <c r="V4" s="50">
        <f>C4/C6</f>
        <v>0.3333333333333333</v>
      </c>
      <c r="W4" s="51">
        <f>D4/D6</f>
        <v>0.16666666666666666</v>
      </c>
      <c r="X4" s="41">
        <f>E4/E6</f>
        <v>0.25</v>
      </c>
      <c r="Z4" s="54">
        <f>W23-V4</f>
        <v>0.05515420978258595</v>
      </c>
      <c r="AA4" s="54">
        <f>W30-W4</f>
        <v>0.04632998294601659</v>
      </c>
    </row>
    <row r="5" spans="1:27" ht="12.75">
      <c r="A5" s="121"/>
      <c r="B5" s="4" t="s">
        <v>6</v>
      </c>
      <c r="C5" s="19">
        <f>C6-C4</f>
        <v>200</v>
      </c>
      <c r="D5" s="20">
        <f>D6-D4</f>
        <v>250</v>
      </c>
      <c r="E5" s="83">
        <f>SUM(C5:D5)</f>
        <v>450</v>
      </c>
      <c r="U5" s="8" t="s">
        <v>40</v>
      </c>
      <c r="V5" s="52">
        <f>1-V4</f>
        <v>0.6666666666666667</v>
      </c>
      <c r="W5" s="53">
        <f>1-W4</f>
        <v>0.8333333333333334</v>
      </c>
      <c r="X5" s="41">
        <f>1-X4</f>
        <v>0.75</v>
      </c>
      <c r="Z5" s="54">
        <f>V4-W24</f>
        <v>0.05093988604107064</v>
      </c>
      <c r="AA5" s="54">
        <f>W4-W31</f>
        <v>0.03790133546298596</v>
      </c>
    </row>
    <row r="6" spans="2:23" ht="12.75">
      <c r="B6" s="12" t="s">
        <v>7</v>
      </c>
      <c r="C6" s="22">
        <v>300</v>
      </c>
      <c r="D6" s="86">
        <v>300</v>
      </c>
      <c r="E6" s="85">
        <f>SUM(E4:E5)</f>
        <v>600</v>
      </c>
      <c r="G6" s="104"/>
      <c r="H6" s="104"/>
      <c r="V6" t="s">
        <v>72</v>
      </c>
      <c r="W6" t="s">
        <v>73</v>
      </c>
    </row>
    <row r="7" spans="2:24" ht="12.75">
      <c r="B7" s="8"/>
      <c r="C7" s="10"/>
      <c r="D7" s="10"/>
      <c r="E7" s="10"/>
      <c r="X7" s="54"/>
    </row>
    <row r="8" spans="1:31" ht="15">
      <c r="A8" s="2" t="s">
        <v>8</v>
      </c>
      <c r="F8" t="s">
        <v>47</v>
      </c>
      <c r="N8" t="s">
        <v>49</v>
      </c>
      <c r="R8" t="s">
        <v>50</v>
      </c>
      <c r="V8" t="s">
        <v>48</v>
      </c>
      <c r="Z8" t="s">
        <v>55</v>
      </c>
      <c r="AE8" t="s">
        <v>79</v>
      </c>
    </row>
    <row r="9" spans="1:33" ht="12.75">
      <c r="A9" s="56" t="s">
        <v>52</v>
      </c>
      <c r="F9" s="28" t="s">
        <v>14</v>
      </c>
      <c r="G9" s="28"/>
      <c r="H9" s="28"/>
      <c r="J9" s="28" t="s">
        <v>53</v>
      </c>
      <c r="K9" s="28"/>
      <c r="L9" s="28"/>
      <c r="N9" s="64" t="s">
        <v>22</v>
      </c>
      <c r="O9" s="65"/>
      <c r="P9" s="66"/>
      <c r="R9" s="28" t="s">
        <v>23</v>
      </c>
      <c r="S9" s="28"/>
      <c r="T9" s="28"/>
      <c r="V9" s="28" t="s">
        <v>34</v>
      </c>
      <c r="W9" s="28"/>
      <c r="X9" s="28"/>
      <c r="Z9" s="64" t="s">
        <v>58</v>
      </c>
      <c r="AA9" s="65"/>
      <c r="AB9" s="65"/>
      <c r="AC9" s="66"/>
      <c r="AE9" s="28" t="s">
        <v>77</v>
      </c>
      <c r="AF9" s="28"/>
      <c r="AG9" s="28"/>
    </row>
    <row r="10" spans="1:33" ht="12.75">
      <c r="A10" s="3"/>
      <c r="B10" t="s">
        <v>9</v>
      </c>
      <c r="C10" s="5" t="str">
        <f>$C$3</f>
        <v>a</v>
      </c>
      <c r="D10" s="5" t="str">
        <f>$D$3</f>
        <v>¬a</v>
      </c>
      <c r="F10" s="29" t="s">
        <v>11</v>
      </c>
      <c r="G10" s="30" t="str">
        <f>$C$3</f>
        <v>a</v>
      </c>
      <c r="H10" s="30" t="str">
        <f>$D$3</f>
        <v>¬a</v>
      </c>
      <c r="J10" s="29"/>
      <c r="K10" s="30"/>
      <c r="L10" s="30"/>
      <c r="N10" s="74" t="s">
        <v>11</v>
      </c>
      <c r="O10" s="30" t="str">
        <f>$C$3</f>
        <v>a</v>
      </c>
      <c r="P10" s="75" t="str">
        <f>$D$3</f>
        <v>¬a</v>
      </c>
      <c r="R10" s="35" t="s">
        <v>13</v>
      </c>
      <c r="S10" s="30" t="str">
        <f>$C$3</f>
        <v>a</v>
      </c>
      <c r="T10" s="30" t="str">
        <f>$D$3</f>
        <v>¬a</v>
      </c>
      <c r="V10" s="28"/>
      <c r="W10" s="30" t="str">
        <f>$C$3</f>
        <v>a</v>
      </c>
      <c r="X10" s="30" t="str">
        <f>$D$3</f>
        <v>¬a</v>
      </c>
      <c r="Z10" s="67" t="s">
        <v>60</v>
      </c>
      <c r="AA10" s="61">
        <f>2*(C6+$J$2*$J$2)</f>
        <v>607.6829176413883</v>
      </c>
      <c r="AB10" s="61">
        <f>2*(D6+$J$2*$J$2)</f>
        <v>607.6829176413883</v>
      </c>
      <c r="AC10" s="68"/>
      <c r="AE10" s="28"/>
      <c r="AF10" s="28"/>
      <c r="AG10" s="28"/>
    </row>
    <row r="11" spans="1:33" ht="12.75">
      <c r="A11" s="3"/>
      <c r="B11" s="4" t="str">
        <f>$B$4</f>
        <v>b</v>
      </c>
      <c r="C11" s="17">
        <f>$E4*C$6/$E$6</f>
        <v>75</v>
      </c>
      <c r="D11" s="18">
        <f>$E4*D$6/$E$6</f>
        <v>75</v>
      </c>
      <c r="F11" s="28"/>
      <c r="G11" s="43">
        <f>(C4-C11)^2/C11</f>
        <v>8.333333333333334</v>
      </c>
      <c r="H11" s="43">
        <f>(D4-D11)^2/D11</f>
        <v>8.333333333333334</v>
      </c>
      <c r="J11" s="28" t="s">
        <v>30</v>
      </c>
      <c r="K11" s="39" t="s">
        <v>31</v>
      </c>
      <c r="L11" s="31"/>
      <c r="N11" s="67"/>
      <c r="O11" s="31">
        <f>(ABS(C4-C11)-0.5)^2/C11</f>
        <v>8.003333333333334</v>
      </c>
      <c r="P11" s="76">
        <f>(ABS(D4-D11)-0.5)^2/D11</f>
        <v>8.003333333333334</v>
      </c>
      <c r="R11" s="28"/>
      <c r="S11" s="34">
        <f>IF(C4=0,0,2*C4*LN(C4/C11))</f>
        <v>57.53641449035617</v>
      </c>
      <c r="T11" s="34">
        <f>IF(D4=0,0,2*D4*LN(D4/D11))</f>
        <v>-40.54651081081644</v>
      </c>
      <c r="V11" s="28" t="s">
        <v>44</v>
      </c>
      <c r="W11" s="28">
        <f>$J$2*$J$2/C6</f>
        <v>0.012804862735647078</v>
      </c>
      <c r="X11" s="28">
        <f>$J$2*$J$2/D6</f>
        <v>0.012804862735647078</v>
      </c>
      <c r="Z11" s="67" t="s">
        <v>59</v>
      </c>
      <c r="AA11" s="61">
        <f>$J$2*$J$2-(1/C6)+(4*C6*V4*V5)</f>
        <v>270.5047921540275</v>
      </c>
      <c r="AB11" s="61">
        <f>$J$2*$J$2-(1/D6)+(4*D6*W4*W5)</f>
        <v>170.50479215402748</v>
      </c>
      <c r="AC11" s="68"/>
      <c r="AE11" s="28" t="s">
        <v>80</v>
      </c>
      <c r="AF11" s="28"/>
      <c r="AG11" s="28"/>
    </row>
    <row r="12" spans="1:33" ht="12.75">
      <c r="A12" s="3"/>
      <c r="B12" s="4" t="str">
        <f>$B$5</f>
        <v>¬b</v>
      </c>
      <c r="C12" s="19">
        <f>$E5*C$6/$E$6</f>
        <v>225</v>
      </c>
      <c r="D12" s="20">
        <f>$E5*D$6/$E$6</f>
        <v>225</v>
      </c>
      <c r="F12" s="28"/>
      <c r="G12" s="43">
        <f>(C5-C12)^2/C12</f>
        <v>2.7777777777777777</v>
      </c>
      <c r="H12" s="43">
        <f>(D5-D12)^2/D12</f>
        <v>2.7777777777777777</v>
      </c>
      <c r="J12" s="38" t="s">
        <v>84</v>
      </c>
      <c r="K12" s="31"/>
      <c r="L12" s="31"/>
      <c r="N12" s="67"/>
      <c r="O12" s="31">
        <f>(ABS(C5-C12)-0.5)^2/C12</f>
        <v>2.667777777777778</v>
      </c>
      <c r="P12" s="76">
        <f>(ABS(D5-D12)-0.5)^2/D12</f>
        <v>2.667777777777778</v>
      </c>
      <c r="R12" s="28"/>
      <c r="S12" s="34">
        <f>IF(C5=0,0,2*C5*LN(C5/C12))</f>
        <v>-47.113214262553406</v>
      </c>
      <c r="T12" s="34">
        <f>IF(D5=0,0,2*D5*LN(D5/D12))</f>
        <v>52.68025782891318</v>
      </c>
      <c r="V12" s="28"/>
      <c r="W12" s="31"/>
      <c r="X12" s="28"/>
      <c r="Z12" s="67" t="s">
        <v>56</v>
      </c>
      <c r="AA12" s="61">
        <f>2-4*V4</f>
        <v>0.6666666666666667</v>
      </c>
      <c r="AB12" s="61">
        <f>2-4*W4</f>
        <v>1.3333333333333335</v>
      </c>
      <c r="AC12" s="68"/>
      <c r="AE12" s="28"/>
      <c r="AF12" s="28"/>
      <c r="AG12" s="28"/>
    </row>
    <row r="13" spans="1:33" ht="12.75">
      <c r="A13" s="3"/>
      <c r="C13" s="36"/>
      <c r="D13" s="36"/>
      <c r="F13" s="32" t="s">
        <v>7</v>
      </c>
      <c r="G13" s="33">
        <f>SUM(G11:H12)</f>
        <v>22.222222222222225</v>
      </c>
      <c r="H13" s="35"/>
      <c r="J13" s="40" t="s">
        <v>85</v>
      </c>
      <c r="K13" s="37"/>
      <c r="L13" s="28"/>
      <c r="N13" s="70" t="s">
        <v>7</v>
      </c>
      <c r="O13" s="33">
        <f>SUM(O11:P12)</f>
        <v>21.342222222222226</v>
      </c>
      <c r="P13" s="68"/>
      <c r="R13" s="32" t="s">
        <v>7</v>
      </c>
      <c r="S13" s="33">
        <f>SUM(S11:T12)</f>
        <v>22.5569472458995</v>
      </c>
      <c r="T13" s="28"/>
      <c r="V13" s="28"/>
      <c r="W13" s="31"/>
      <c r="X13" s="31"/>
      <c r="Z13" s="67"/>
      <c r="AA13" s="38"/>
      <c r="AB13" s="38"/>
      <c r="AC13" s="68"/>
      <c r="AE13" s="28"/>
      <c r="AF13" s="28"/>
      <c r="AG13" s="28"/>
    </row>
    <row r="14" spans="1:33" ht="12.75">
      <c r="A14" s="27" t="s">
        <v>19</v>
      </c>
      <c r="F14" s="28" t="s">
        <v>12</v>
      </c>
      <c r="G14" s="34">
        <f>CHIDIST(G13,1)</f>
        <v>2.42846747297584E-06</v>
      </c>
      <c r="H14" s="35" t="str">
        <f>IF((G14&lt;H2),"s","ns")</f>
        <v>s</v>
      </c>
      <c r="J14" s="38" t="s">
        <v>54</v>
      </c>
      <c r="K14" s="37"/>
      <c r="L14" s="35"/>
      <c r="N14" s="67" t="s">
        <v>12</v>
      </c>
      <c r="O14" s="37">
        <f>CHIDIST(O13,1)</f>
        <v>3.8417620981830605E-06</v>
      </c>
      <c r="P14" s="77" t="str">
        <f>IF((O14&lt;$H$2),"s","ns")</f>
        <v>s</v>
      </c>
      <c r="R14" s="28" t="s">
        <v>12</v>
      </c>
      <c r="S14" s="34">
        <f>CHIDIST(S13,1)</f>
        <v>2.0400545153694343E-06</v>
      </c>
      <c r="T14" s="35" t="str">
        <f>IF((S14&lt;$H$2),"s","ns")</f>
        <v>s</v>
      </c>
      <c r="V14" s="28" t="s">
        <v>69</v>
      </c>
      <c r="W14" s="44">
        <f>J2*SQRT(W23*(1-W23)/C6+W31*(1-W31)/D6)</f>
        <v>0.06692158162072452</v>
      </c>
      <c r="X14" s="42" t="s">
        <v>119</v>
      </c>
      <c r="Z14" s="67" t="s">
        <v>69</v>
      </c>
      <c r="AA14" s="61">
        <f>SQRT((AA31-W4)^2+(V4-AA23)^2)</f>
        <v>0.06917015785333233</v>
      </c>
      <c r="AB14" s="61">
        <f>SQRT((AB31-W4)^2+(V4-AB23)^2)</f>
        <v>0.06917015785333233</v>
      </c>
      <c r="AC14" s="79"/>
      <c r="AD14" s="54"/>
      <c r="AE14" s="28"/>
      <c r="AF14" s="28"/>
      <c r="AG14" s="28"/>
    </row>
    <row r="15" spans="6:33" ht="12.75">
      <c r="F15" s="38"/>
      <c r="G15" s="38"/>
      <c r="H15" s="38"/>
      <c r="J15" s="35"/>
      <c r="K15" s="35"/>
      <c r="L15" s="35"/>
      <c r="N15" s="67"/>
      <c r="O15" s="37"/>
      <c r="P15" s="77"/>
      <c r="R15" s="28"/>
      <c r="S15" s="34"/>
      <c r="T15" s="35"/>
      <c r="V15" s="28" t="s">
        <v>70</v>
      </c>
      <c r="W15" s="44">
        <f>-J2*SQRT(W24*(1-W24)/C6+W30*(1-W30)/D6)</f>
        <v>-0.06885738384266026</v>
      </c>
      <c r="X15" s="43"/>
      <c r="Z15" s="67" t="s">
        <v>70</v>
      </c>
      <c r="AA15" s="61">
        <f>-SQRT((AA30-W4)^2+(V4-AA24)^2)</f>
        <v>-0.07124420408873876</v>
      </c>
      <c r="AB15" s="61">
        <f>-SQRT((AB30-W4)^2+(V4-AB24)^2)</f>
        <v>-0.07124420408873876</v>
      </c>
      <c r="AC15" s="69"/>
      <c r="AE15" s="28"/>
      <c r="AF15" s="28"/>
      <c r="AG15" s="28"/>
    </row>
    <row r="16" spans="6:33" ht="12.75">
      <c r="F16" s="28" t="s">
        <v>33</v>
      </c>
      <c r="G16" s="42">
        <f>(C4*D5-C5*D4)/SQRT(E4*E5*C6*D6)</f>
        <v>0.19245008972987526</v>
      </c>
      <c r="H16" s="38"/>
      <c r="J16" s="28" t="s">
        <v>103</v>
      </c>
      <c r="K16" s="99">
        <f>W75</f>
        <v>2.4999999999999996</v>
      </c>
      <c r="L16" s="28"/>
      <c r="N16" s="67" t="s">
        <v>33</v>
      </c>
      <c r="O16" s="61">
        <f>G16</f>
        <v>0.19245008972987526</v>
      </c>
      <c r="P16" s="77"/>
      <c r="R16" s="119" t="s">
        <v>144</v>
      </c>
      <c r="S16" s="42">
        <f>W96</f>
        <v>-0.5</v>
      </c>
      <c r="T16" s="35"/>
      <c r="V16" s="28" t="s">
        <v>71</v>
      </c>
      <c r="W16" s="49">
        <f>W4-V4</f>
        <v>-0.16666666666666666</v>
      </c>
      <c r="X16" s="45" t="str">
        <f>IF(W16&lt;W15,"s-",IF(W16&gt;W14,"s+","ns"))</f>
        <v>s-</v>
      </c>
      <c r="Z16" s="67" t="s">
        <v>98</v>
      </c>
      <c r="AA16" s="60">
        <f>W16</f>
        <v>-0.16666666666666666</v>
      </c>
      <c r="AB16" s="45" t="str">
        <f>IF(AA16&lt;AB15,"s-",IF(AA16&gt;AB14,"s+","ns"))</f>
        <v>s-</v>
      </c>
      <c r="AC16" s="69"/>
      <c r="AE16" s="28"/>
      <c r="AF16" s="28"/>
      <c r="AG16" s="28"/>
    </row>
    <row r="17" spans="6:33" ht="12.75">
      <c r="F17" s="110" t="s">
        <v>121</v>
      </c>
      <c r="G17" s="89">
        <f>W56</f>
        <v>0.1131555993750263</v>
      </c>
      <c r="H17" s="38"/>
      <c r="J17" s="28" t="s">
        <v>115</v>
      </c>
      <c r="K17" s="89">
        <f>W76</f>
        <v>1.6997641984015972</v>
      </c>
      <c r="L17" s="28"/>
      <c r="N17" s="111" t="s">
        <v>121</v>
      </c>
      <c r="O17" s="61">
        <f>AA56</f>
        <v>0.11025164354711338</v>
      </c>
      <c r="P17" s="77"/>
      <c r="R17" s="88" t="s">
        <v>142</v>
      </c>
      <c r="S17" s="42">
        <f>W97</f>
        <v>-0.6295978804323255</v>
      </c>
      <c r="T17" s="123"/>
      <c r="V17" s="28" t="s">
        <v>87</v>
      </c>
      <c r="W17" s="43">
        <f>W16-W14</f>
        <v>-0.23358824828739116</v>
      </c>
      <c r="X17" s="31" t="s">
        <v>145</v>
      </c>
      <c r="Z17" s="67" t="s">
        <v>87</v>
      </c>
      <c r="AA17" s="43">
        <f>AA16-AA14</f>
        <v>-0.235836824519999</v>
      </c>
      <c r="AB17" s="45"/>
      <c r="AC17" s="69"/>
      <c r="AE17" s="28"/>
      <c r="AF17" s="28"/>
      <c r="AG17" s="28"/>
    </row>
    <row r="18" spans="6:33" ht="12.75">
      <c r="F18" s="110" t="s">
        <v>122</v>
      </c>
      <c r="G18" s="89">
        <f>W57</f>
        <v>0.26733095954078184</v>
      </c>
      <c r="H18" s="32" t="str">
        <f>IF(G17&gt;0,"s+",IF(G18&lt;0,"s-","ns"))</f>
        <v>s+</v>
      </c>
      <c r="J18" s="28" t="s">
        <v>116</v>
      </c>
      <c r="K18" s="42">
        <f>W77</f>
        <v>3.676980610532506</v>
      </c>
      <c r="L18" s="35" t="str">
        <f>IF(K17&gt;1,"s+",IF(K18&lt;1,"s-","ns"))</f>
        <v>s+</v>
      </c>
      <c r="N18" s="111" t="s">
        <v>122</v>
      </c>
      <c r="O18" s="61">
        <f>AA57</f>
        <v>0.2700037567966091</v>
      </c>
      <c r="P18" s="77" t="str">
        <f>IF(O17&gt;0,"s+",IF(O18&lt;0,"s-","ns"))</f>
        <v>s+</v>
      </c>
      <c r="R18" s="88" t="s">
        <v>143</v>
      </c>
      <c r="S18" s="42">
        <f>W98</f>
        <v>-0.3277080924054758</v>
      </c>
      <c r="T18" s="123"/>
      <c r="V18" s="119" t="s">
        <v>86</v>
      </c>
      <c r="W18" s="43">
        <f>W16-W15</f>
        <v>-0.0978092828240064</v>
      </c>
      <c r="X18" s="45"/>
      <c r="Z18" s="120" t="s">
        <v>86</v>
      </c>
      <c r="AA18" s="43">
        <f>AA16-AA15</f>
        <v>-0.0954224625779279</v>
      </c>
      <c r="AB18" s="45"/>
      <c r="AC18" s="69"/>
      <c r="AE18" s="28"/>
      <c r="AF18" s="28"/>
      <c r="AG18" s="28"/>
    </row>
    <row r="19" spans="1:33" ht="12.75">
      <c r="A19" s="56" t="s">
        <v>51</v>
      </c>
      <c r="F19" s="38"/>
      <c r="G19" s="38"/>
      <c r="H19" s="38"/>
      <c r="J19" s="28"/>
      <c r="K19" s="28"/>
      <c r="L19" s="28"/>
      <c r="N19" s="67"/>
      <c r="O19" s="38"/>
      <c r="P19" s="68"/>
      <c r="R19" s="28"/>
      <c r="S19" s="28"/>
      <c r="T19" s="28"/>
      <c r="V19" s="28"/>
      <c r="W19" s="28"/>
      <c r="X19" s="28"/>
      <c r="Z19" s="67"/>
      <c r="AA19" s="38"/>
      <c r="AB19" s="38"/>
      <c r="AC19" s="68"/>
      <c r="AE19" s="28"/>
      <c r="AF19" s="28"/>
      <c r="AG19" s="28"/>
    </row>
    <row r="20" spans="1:33" ht="12.75">
      <c r="A20" s="13" t="s">
        <v>1</v>
      </c>
      <c r="B20" t="s">
        <v>9</v>
      </c>
      <c r="C20" s="5" t="str">
        <f>$C$3</f>
        <v>a</v>
      </c>
      <c r="D20" s="3"/>
      <c r="F20" s="29" t="s">
        <v>11</v>
      </c>
      <c r="G20" s="30" t="str">
        <f>$C$3</f>
        <v>a</v>
      </c>
      <c r="H20" s="28"/>
      <c r="J20" s="32" t="s">
        <v>26</v>
      </c>
      <c r="K20" s="30" t="str">
        <f>$C$3</f>
        <v>a</v>
      </c>
      <c r="L20" s="28"/>
      <c r="N20" s="74" t="s">
        <v>11</v>
      </c>
      <c r="O20" s="30" t="str">
        <f>$C$3</f>
        <v>a</v>
      </c>
      <c r="P20" s="68"/>
      <c r="R20" s="35" t="s">
        <v>13</v>
      </c>
      <c r="S20" s="30" t="str">
        <f>$C$3</f>
        <v>a</v>
      </c>
      <c r="T20" s="28"/>
      <c r="V20" s="28" t="s">
        <v>35</v>
      </c>
      <c r="W20" s="30" t="str">
        <f>$C$3</f>
        <v>a</v>
      </c>
      <c r="X20" s="28"/>
      <c r="Z20" s="67" t="s">
        <v>57</v>
      </c>
      <c r="AA20" s="30" t="str">
        <f>$C$3</f>
        <v>a</v>
      </c>
      <c r="AB20" s="38"/>
      <c r="AC20" s="68"/>
      <c r="AE20" s="28"/>
      <c r="AF20" s="35" t="s">
        <v>1</v>
      </c>
      <c r="AG20" s="28"/>
    </row>
    <row r="21" spans="1:33" ht="12.75">
      <c r="A21" s="3"/>
      <c r="B21" s="4" t="str">
        <f>$B$4</f>
        <v>b</v>
      </c>
      <c r="C21" s="24">
        <f>$E4*C$6/$E$6</f>
        <v>75</v>
      </c>
      <c r="E21" s="78"/>
      <c r="F21" s="28"/>
      <c r="G21" s="31">
        <f>(C4-C11)^2/C11</f>
        <v>8.333333333333334</v>
      </c>
      <c r="H21" s="28"/>
      <c r="J21" s="28" t="s">
        <v>27</v>
      </c>
      <c r="K21" s="31">
        <f>ABS(C21-C4)</f>
        <v>25</v>
      </c>
      <c r="L21" s="28"/>
      <c r="N21" s="67"/>
      <c r="O21" s="31">
        <f>(ABS(C4-C11)-0.5)^2/C11</f>
        <v>8.003333333333334</v>
      </c>
      <c r="P21" s="68"/>
      <c r="R21" s="28"/>
      <c r="S21" s="34">
        <f>IF(C4=0,0,2*C4*LN(C4/C11))</f>
        <v>57.53641449035617</v>
      </c>
      <c r="T21" s="28"/>
      <c r="V21" s="28" t="s">
        <v>39</v>
      </c>
      <c r="W21" s="43">
        <f>(V4+W11/2)/(1+W11)</f>
        <v>0.33544049520409097</v>
      </c>
      <c r="X21" s="28" t="s">
        <v>136</v>
      </c>
      <c r="Z21" s="67"/>
      <c r="AA21" s="38"/>
      <c r="AB21" s="38"/>
      <c r="AC21" s="68" t="s">
        <v>136</v>
      </c>
      <c r="AE21" s="28"/>
      <c r="AF21" s="28"/>
      <c r="AG21" s="28"/>
    </row>
    <row r="22" spans="1:33" ht="12.75">
      <c r="A22" s="3"/>
      <c r="B22" s="4" t="str">
        <f>$B$5</f>
        <v>¬b</v>
      </c>
      <c r="C22" s="25">
        <f>$E5*C$6/$E$6</f>
        <v>225</v>
      </c>
      <c r="F22" s="28"/>
      <c r="G22" s="31">
        <f>(C5-C12)^2/C12</f>
        <v>2.7777777777777777</v>
      </c>
      <c r="H22" s="28"/>
      <c r="J22" s="28" t="s">
        <v>28</v>
      </c>
      <c r="K22" s="55">
        <f>SQRT((X4*(1-X4))*C6)*1.95996</f>
        <v>14.6997</v>
      </c>
      <c r="L22" s="35" t="str">
        <f>IF((K21&gt;K22),"s","ns")</f>
        <v>s</v>
      </c>
      <c r="N22" s="67"/>
      <c r="O22" s="31">
        <f>(ABS(C5-C12)-0.5)^2/C12</f>
        <v>2.667777777777778</v>
      </c>
      <c r="P22" s="68"/>
      <c r="R22" s="28"/>
      <c r="S22" s="34">
        <f>IF(C5=0,0,2*C5*LN(C5/C12))</f>
        <v>-47.113214262553406</v>
      </c>
      <c r="T22" s="28"/>
      <c r="V22" s="28" t="s">
        <v>68</v>
      </c>
      <c r="W22" s="42">
        <f>$J$2*SQRT((V4*V5+W11/4)/C6)/(1+W11)</f>
        <v>0.053047047911828266</v>
      </c>
      <c r="X22" s="42">
        <f>V4-X4</f>
        <v>0.08333333333333331</v>
      </c>
      <c r="Z22" s="67"/>
      <c r="AA22" s="38"/>
      <c r="AB22" s="38"/>
      <c r="AC22" s="69">
        <f>V4-X4</f>
        <v>0.08333333333333331</v>
      </c>
      <c r="AE22" s="28"/>
      <c r="AF22" s="28"/>
      <c r="AG22" s="28"/>
    </row>
    <row r="23" spans="1:33" ht="12.75">
      <c r="A23" s="3"/>
      <c r="F23" s="32" t="s">
        <v>7</v>
      </c>
      <c r="G23" s="33">
        <f>SUM(G21:H22)</f>
        <v>11.11111111111111</v>
      </c>
      <c r="H23" s="28"/>
      <c r="J23" s="28" t="s">
        <v>29</v>
      </c>
      <c r="K23" s="37">
        <f>SQRT((X4*(1-X4))*C6)*2.57583</f>
        <v>19.318725</v>
      </c>
      <c r="L23" s="35" t="str">
        <f>IF((K21&gt;K23),"s","ns")</f>
        <v>s</v>
      </c>
      <c r="N23" s="70" t="s">
        <v>7</v>
      </c>
      <c r="O23" s="33">
        <f>SUM(O21:P22)</f>
        <v>10.671111111111111</v>
      </c>
      <c r="P23" s="68"/>
      <c r="R23" s="32" t="s">
        <v>7</v>
      </c>
      <c r="S23" s="33">
        <f>SUM(S21:T22)</f>
        <v>10.423200227802766</v>
      </c>
      <c r="T23" s="28"/>
      <c r="V23" s="32" t="s">
        <v>41</v>
      </c>
      <c r="W23" s="47">
        <f>W21+W22</f>
        <v>0.38848754311591926</v>
      </c>
      <c r="X23" s="42">
        <f>W23-X4</f>
        <v>0.13848754311591926</v>
      </c>
      <c r="Z23" s="70" t="s">
        <v>41</v>
      </c>
      <c r="AA23" s="47">
        <f>MAX(V4,MIN(AB23,1))</f>
        <v>0.39019813866940956</v>
      </c>
      <c r="AB23" s="61">
        <f>W21+($J$2*SQRT(AA11+AA12)+1)/AA10</f>
        <v>0.39019813866940956</v>
      </c>
      <c r="AC23" s="69">
        <f>AA23-X4</f>
        <v>0.14019813866940956</v>
      </c>
      <c r="AE23" s="28" t="s">
        <v>81</v>
      </c>
      <c r="AF23" s="42">
        <f>IF(X4&lt;V4,1-BINOMDIST(C4-1,C6,X4,TRUE),BINOMDIST(C4,C6,X4,TRUE))</f>
        <v>0.0007476168920783621</v>
      </c>
      <c r="AG23" s="42"/>
    </row>
    <row r="24" spans="1:33" ht="12.75">
      <c r="A24" s="27" t="s">
        <v>21</v>
      </c>
      <c r="F24" s="28" t="s">
        <v>12</v>
      </c>
      <c r="G24" s="34">
        <f>CHIDIST(G23,1)</f>
        <v>0.000858120666393674</v>
      </c>
      <c r="H24" s="35" t="str">
        <f>IF((G24&lt;H2),"s","ns")</f>
        <v>s</v>
      </c>
      <c r="J24" s="28"/>
      <c r="K24" s="34"/>
      <c r="L24" s="35"/>
      <c r="N24" s="67" t="s">
        <v>12</v>
      </c>
      <c r="O24" s="37">
        <f>CHIDIST(O23,1)</f>
        <v>0.0010882173049342834</v>
      </c>
      <c r="P24" s="77" t="str">
        <f>IF((O24&lt;$H$2),"s","ns")</f>
        <v>s</v>
      </c>
      <c r="R24" s="28" t="s">
        <v>12</v>
      </c>
      <c r="S24" s="34">
        <f>CHIDIST(S23,1)</f>
        <v>0.0012444206895429913</v>
      </c>
      <c r="T24" s="35" t="str">
        <f>IF((S24&lt;$H$2),"s","ns")</f>
        <v>s</v>
      </c>
      <c r="V24" s="35" t="s">
        <v>42</v>
      </c>
      <c r="W24" s="48">
        <f>W21-W22</f>
        <v>0.2823934472922627</v>
      </c>
      <c r="X24" s="42">
        <f>W24-X4</f>
        <v>0.03239344729226268</v>
      </c>
      <c r="Z24" s="70" t="s">
        <v>42</v>
      </c>
      <c r="AA24" s="48">
        <f>MIN(V4,MAX(AB24,0))</f>
        <v>0.2808135869737572</v>
      </c>
      <c r="AB24" s="61">
        <f>W21-($J$2*SQRT(AA11-AA12)+1)/AA10</f>
        <v>0.2808135869737572</v>
      </c>
      <c r="AC24" s="69">
        <f>AA24-X4</f>
        <v>0.03081358697375719</v>
      </c>
      <c r="AD24" s="62"/>
      <c r="AE24" s="28" t="s">
        <v>75</v>
      </c>
      <c r="AF24" s="28" t="str">
        <f>IF(AF23&lt;0.025,"s+",IF(AF23&gt;0.925,"s-","ns"))</f>
        <v>s+</v>
      </c>
      <c r="AG24" s="28"/>
    </row>
    <row r="25" spans="6:33" ht="12.75">
      <c r="F25" s="28" t="s">
        <v>135</v>
      </c>
      <c r="G25" s="42">
        <f>SQRT((G21*X4+G22*X5)/(2*C6))</f>
        <v>0.08333333333333333</v>
      </c>
      <c r="H25" s="28"/>
      <c r="J25" s="28"/>
      <c r="K25" s="34"/>
      <c r="L25" s="35"/>
      <c r="N25" s="67"/>
      <c r="O25" s="37"/>
      <c r="P25" s="77"/>
      <c r="R25" s="28"/>
      <c r="S25" s="34"/>
      <c r="T25" s="35"/>
      <c r="V25" s="28"/>
      <c r="W25" s="46" t="str">
        <f>IF($X4&gt;W23,"s+",IF($X4&lt;W24,"s-","ns"))</f>
        <v>s-</v>
      </c>
      <c r="X25" s="42"/>
      <c r="Z25" s="67"/>
      <c r="AA25" s="32" t="str">
        <f>IF($X4&gt;AB23,"s+",IF($X4&lt;AB24,"s-","ns"))</f>
        <v>s-</v>
      </c>
      <c r="AB25" s="38"/>
      <c r="AC25" s="68"/>
      <c r="AE25" s="28" t="s">
        <v>76</v>
      </c>
      <c r="AF25" s="28" t="str">
        <f>IF(AF23&lt;0.005,"s+",IF(AF23&gt;0.995,"s-","ns"))</f>
        <v>s+</v>
      </c>
      <c r="AG25" s="28"/>
    </row>
    <row r="26" spans="1:33" ht="12.75">
      <c r="A26" s="56"/>
      <c r="F26" s="28"/>
      <c r="G26" s="34"/>
      <c r="H26" s="28"/>
      <c r="J26" s="28"/>
      <c r="K26" s="34"/>
      <c r="L26" s="35"/>
      <c r="N26" s="67"/>
      <c r="O26" s="37"/>
      <c r="P26" s="77"/>
      <c r="R26" s="28"/>
      <c r="S26" s="34"/>
      <c r="T26" s="35"/>
      <c r="V26" s="28"/>
      <c r="W26" s="34"/>
      <c r="X26" s="42"/>
      <c r="Z26" s="67"/>
      <c r="AA26" s="38"/>
      <c r="AB26" s="38"/>
      <c r="AC26" s="68"/>
      <c r="AE26" s="28"/>
      <c r="AF26" s="28"/>
      <c r="AG26" s="28"/>
    </row>
    <row r="27" spans="1:33" ht="12.75">
      <c r="A27" s="13" t="s">
        <v>5</v>
      </c>
      <c r="B27" t="s">
        <v>9</v>
      </c>
      <c r="D27" s="5" t="str">
        <f>$D$3</f>
        <v>¬a</v>
      </c>
      <c r="F27" s="29" t="s">
        <v>11</v>
      </c>
      <c r="G27" s="30" t="str">
        <f>$D$3</f>
        <v>¬a</v>
      </c>
      <c r="H27" s="28"/>
      <c r="J27" s="32" t="s">
        <v>26</v>
      </c>
      <c r="K27" s="30" t="str">
        <f>$D$3</f>
        <v>¬a</v>
      </c>
      <c r="L27" s="28"/>
      <c r="N27" s="74" t="s">
        <v>11</v>
      </c>
      <c r="O27" s="30" t="str">
        <f>$D$3</f>
        <v>¬a</v>
      </c>
      <c r="P27" s="68"/>
      <c r="R27" s="35" t="s">
        <v>13</v>
      </c>
      <c r="S27" s="30" t="str">
        <f>$D$3</f>
        <v>¬a</v>
      </c>
      <c r="T27" s="28"/>
      <c r="V27" s="28" t="s">
        <v>35</v>
      </c>
      <c r="W27" s="30" t="str">
        <f>$D$3</f>
        <v>¬a</v>
      </c>
      <c r="X27" s="42"/>
      <c r="Z27" s="67"/>
      <c r="AA27" s="30" t="str">
        <f>$D$3</f>
        <v>¬a</v>
      </c>
      <c r="AB27" s="38"/>
      <c r="AC27" s="68"/>
      <c r="AE27" s="28"/>
      <c r="AF27" s="35" t="s">
        <v>5</v>
      </c>
      <c r="AG27" s="28"/>
    </row>
    <row r="28" spans="2:33" ht="12.75">
      <c r="B28" s="4" t="str">
        <f>$B$4</f>
        <v>b</v>
      </c>
      <c r="D28" s="24">
        <f>$E4*D$6/$E$6</f>
        <v>75</v>
      </c>
      <c r="F28" s="28"/>
      <c r="G28" s="31">
        <f>(D4-D11)^2/D11</f>
        <v>8.333333333333334</v>
      </c>
      <c r="H28" s="28"/>
      <c r="J28" s="28" t="s">
        <v>27</v>
      </c>
      <c r="K28" s="31">
        <f>ABS(D28-D4)</f>
        <v>25</v>
      </c>
      <c r="L28" s="28"/>
      <c r="N28" s="67"/>
      <c r="O28" s="31">
        <f>(ABS(D4-D11)-0.5)^2/D11</f>
        <v>8.003333333333334</v>
      </c>
      <c r="P28" s="68"/>
      <c r="R28" s="28"/>
      <c r="S28" s="34">
        <f>IF(D4=0,0,2*D4*LN(D4/D11))</f>
        <v>-40.54651081081644</v>
      </c>
      <c r="T28" s="28"/>
      <c r="V28" s="28" t="s">
        <v>39</v>
      </c>
      <c r="W28" s="43">
        <f>(W4+X11/2)/(1+X11)</f>
        <v>0.17088099040818197</v>
      </c>
      <c r="X28" s="42"/>
      <c r="Z28" s="67"/>
      <c r="AA28" s="38"/>
      <c r="AB28" s="38"/>
      <c r="AC28" s="68"/>
      <c r="AD28" s="54"/>
      <c r="AE28" s="28"/>
      <c r="AF28" s="28"/>
      <c r="AG28" s="28"/>
    </row>
    <row r="29" spans="2:33" ht="12.75">
      <c r="B29" s="4" t="str">
        <f>$B$5</f>
        <v>¬b</v>
      </c>
      <c r="D29" s="25">
        <f>$E5*D$6/$E$6</f>
        <v>225</v>
      </c>
      <c r="F29" s="28"/>
      <c r="G29" s="31">
        <f>(D5-D12)^2/D12</f>
        <v>2.7777777777777777</v>
      </c>
      <c r="H29" s="28"/>
      <c r="J29" s="28" t="s">
        <v>28</v>
      </c>
      <c r="K29" s="55">
        <f>SQRT((X4*(1-X4))*D6)*1.95996</f>
        <v>14.6997</v>
      </c>
      <c r="L29" s="35" t="str">
        <f>IF((K28&gt;K29),"s","ns")</f>
        <v>s</v>
      </c>
      <c r="N29" s="67"/>
      <c r="O29" s="31">
        <f>(ABS(D5-D12)-0.5)^2/D12</f>
        <v>2.667777777777778</v>
      </c>
      <c r="P29" s="68"/>
      <c r="R29" s="28"/>
      <c r="S29" s="34">
        <f>IF(D5=0,0,2*D5*LN(D5/D12))</f>
        <v>52.68025782891318</v>
      </c>
      <c r="T29" s="28"/>
      <c r="V29" s="28" t="s">
        <v>68</v>
      </c>
      <c r="W29" s="43">
        <f>$J$2*SQRT((W4*W5+X11/4)/D6)/(1+X11)</f>
        <v>0.04211565920450127</v>
      </c>
      <c r="X29" s="42">
        <f>W4-X4</f>
        <v>-0.08333333333333334</v>
      </c>
      <c r="Z29" s="67"/>
      <c r="AA29" s="38"/>
      <c r="AB29" s="38"/>
      <c r="AC29" s="69">
        <f>W4-X4</f>
        <v>-0.08333333333333334</v>
      </c>
      <c r="AD29" s="63"/>
      <c r="AE29" s="28"/>
      <c r="AF29" s="28"/>
      <c r="AG29" s="28"/>
    </row>
    <row r="30" spans="4:33" ht="12.75">
      <c r="D30" s="36"/>
      <c r="F30" s="32" t="s">
        <v>7</v>
      </c>
      <c r="G30" s="33">
        <f>SUM(G28:H29)</f>
        <v>11.11111111111111</v>
      </c>
      <c r="H30" s="28"/>
      <c r="J30" s="28" t="s">
        <v>29</v>
      </c>
      <c r="K30" s="55">
        <f>SQRT((X4*(1-X4))*D6)*2.57583</f>
        <v>19.318725</v>
      </c>
      <c r="L30" s="35" t="str">
        <f>IF((K28&gt;K30),"s","ns")</f>
        <v>s</v>
      </c>
      <c r="N30" s="70" t="s">
        <v>7</v>
      </c>
      <c r="O30" s="33">
        <f>SUM(O28:P29)</f>
        <v>10.671111111111111</v>
      </c>
      <c r="P30" s="68"/>
      <c r="R30" s="32" t="s">
        <v>7</v>
      </c>
      <c r="S30" s="33">
        <f>SUM(S28:T29)</f>
        <v>12.133747018096734</v>
      </c>
      <c r="T30" s="28"/>
      <c r="V30" s="32" t="s">
        <v>41</v>
      </c>
      <c r="W30" s="47">
        <f>W28+W29</f>
        <v>0.21299664961268325</v>
      </c>
      <c r="X30" s="42">
        <f>W30-X4</f>
        <v>-0.03700335038731675</v>
      </c>
      <c r="Z30" s="70" t="s">
        <v>41</v>
      </c>
      <c r="AA30" s="47">
        <f>MAX(W4,MIN(AB30,1))</f>
        <v>0.21480618119022257</v>
      </c>
      <c r="AB30" s="61">
        <f>W28+($J$2*SQRT(AB11+AB12)+1)/AB10</f>
        <v>0.21480618119022257</v>
      </c>
      <c r="AC30" s="69">
        <f>AA30-X4</f>
        <v>-0.03519381880977743</v>
      </c>
      <c r="AE30" s="28" t="s">
        <v>74</v>
      </c>
      <c r="AF30" s="42">
        <f>IF(X4&lt;W4,1-BINOMDIST(D4-1,D6,X4,TRUE),BINOMDIST(D4,D6,X4,TRUE))</f>
        <v>0.0003400544732288948</v>
      </c>
      <c r="AG30" s="42"/>
    </row>
    <row r="31" spans="1:33" ht="12.75">
      <c r="A31" s="27" t="s">
        <v>20</v>
      </c>
      <c r="F31" s="28" t="s">
        <v>12</v>
      </c>
      <c r="G31" s="34">
        <f>CHIDIST(G30,1)</f>
        <v>0.000858120666393674</v>
      </c>
      <c r="H31" s="35" t="str">
        <f>IF((G31&lt;H2),"s","ns")</f>
        <v>s</v>
      </c>
      <c r="J31" s="28"/>
      <c r="K31" s="34"/>
      <c r="L31" s="35"/>
      <c r="N31" s="67" t="s">
        <v>12</v>
      </c>
      <c r="O31" s="37">
        <f>CHIDIST(O30,1)</f>
        <v>0.0010882173049342834</v>
      </c>
      <c r="P31" s="77" t="str">
        <f>IF((O31&lt;$H$2),"s","ns")</f>
        <v>s</v>
      </c>
      <c r="R31" s="28" t="s">
        <v>12</v>
      </c>
      <c r="S31" s="34">
        <f>CHIDIST(S30,1)</f>
        <v>0.0004951752688328738</v>
      </c>
      <c r="T31" s="35" t="str">
        <f>IF((S31&lt;$H$2),"s","ns")</f>
        <v>s</v>
      </c>
      <c r="V31" s="35" t="s">
        <v>42</v>
      </c>
      <c r="W31" s="48">
        <f>W28-W29</f>
        <v>0.1287653312036807</v>
      </c>
      <c r="X31" s="42">
        <f>W31-X4</f>
        <v>-0.1212346687963193</v>
      </c>
      <c r="Z31" s="70" t="s">
        <v>42</v>
      </c>
      <c r="AA31" s="48">
        <f>MIN(W4,MAX(AB31,0))</f>
        <v>0.12728513988639736</v>
      </c>
      <c r="AB31" s="61">
        <f>W28-($J$2*SQRT(AB11-AB12)+1)/AB10</f>
        <v>0.12728513988639736</v>
      </c>
      <c r="AC31" s="69">
        <f>AA31-X4</f>
        <v>-0.12271486011360264</v>
      </c>
      <c r="AE31" s="28" t="s">
        <v>75</v>
      </c>
      <c r="AF31" s="28" t="str">
        <f>IF(AF30&lt;0.025,"s+",IF(AF30&gt;0.925,"s-","ns"))</f>
        <v>s+</v>
      </c>
      <c r="AG31" s="28"/>
    </row>
    <row r="32" spans="1:33" ht="12.75">
      <c r="A32" s="27"/>
      <c r="F32" s="28" t="s">
        <v>135</v>
      </c>
      <c r="G32" s="42">
        <f>SQRT((G28*X4+G29*X5)/(2*D6))</f>
        <v>0.08333333333333333</v>
      </c>
      <c r="H32" s="28"/>
      <c r="J32" s="28"/>
      <c r="K32" s="34"/>
      <c r="L32" s="35"/>
      <c r="N32" s="67"/>
      <c r="O32" s="37"/>
      <c r="P32" s="77"/>
      <c r="R32" s="28"/>
      <c r="S32" s="34"/>
      <c r="T32" s="35"/>
      <c r="V32" s="28"/>
      <c r="W32" s="46" t="str">
        <f>IF($X4&gt;W30,"s+",IF($X4&lt;W31,"s-","ns"))</f>
        <v>s+</v>
      </c>
      <c r="X32" s="42"/>
      <c r="Z32" s="67"/>
      <c r="AA32" s="32" t="str">
        <f>IF($X4&gt;AB30,"s+",IF($X4&lt;AB31,"s-","ns"))</f>
        <v>s+</v>
      </c>
      <c r="AB32" s="38"/>
      <c r="AC32" s="68"/>
      <c r="AE32" s="28" t="s">
        <v>76</v>
      </c>
      <c r="AF32" s="28" t="str">
        <f>IF(AF30&lt;0.005,"s+",IF(AF30&gt;0.995,"s-","ns"))</f>
        <v>s+</v>
      </c>
      <c r="AG32" s="28"/>
    </row>
    <row r="33" spans="6:33" ht="12.75">
      <c r="F33" s="28"/>
      <c r="G33" s="28"/>
      <c r="H33" s="28"/>
      <c r="J33" s="28"/>
      <c r="K33" s="28"/>
      <c r="L33" s="28"/>
      <c r="N33" s="67"/>
      <c r="O33" s="38"/>
      <c r="P33" s="68"/>
      <c r="R33" s="28"/>
      <c r="S33" s="28"/>
      <c r="T33" s="28"/>
      <c r="V33" s="28"/>
      <c r="W33" s="28"/>
      <c r="X33" s="28"/>
      <c r="Z33" s="67"/>
      <c r="AA33" s="38"/>
      <c r="AB33" s="38"/>
      <c r="AC33" s="68"/>
      <c r="AE33" s="28"/>
      <c r="AF33" s="28"/>
      <c r="AG33" s="28"/>
    </row>
    <row r="34" spans="6:33" ht="12.75">
      <c r="F34" s="28" t="s">
        <v>24</v>
      </c>
      <c r="G34" s="28"/>
      <c r="H34" s="28"/>
      <c r="J34" s="28" t="s">
        <v>37</v>
      </c>
      <c r="K34" s="28"/>
      <c r="L34" s="28"/>
      <c r="N34" s="71" t="s">
        <v>64</v>
      </c>
      <c r="O34" s="72"/>
      <c r="P34" s="73"/>
      <c r="R34" s="28" t="s">
        <v>32</v>
      </c>
      <c r="S34" s="28"/>
      <c r="T34" s="28"/>
      <c r="V34" s="28" t="s">
        <v>65</v>
      </c>
      <c r="W34" s="28"/>
      <c r="X34" s="28"/>
      <c r="Z34" s="71" t="s">
        <v>64</v>
      </c>
      <c r="AA34" s="72"/>
      <c r="AB34" s="72"/>
      <c r="AC34" s="73"/>
      <c r="AE34" s="87" t="s">
        <v>78</v>
      </c>
      <c r="AF34" s="28"/>
      <c r="AG34" s="28"/>
    </row>
    <row r="35" spans="6:8" ht="12.75">
      <c r="F35" s="104"/>
      <c r="G35" s="104"/>
      <c r="H35" s="104"/>
    </row>
    <row r="36" spans="6:31" ht="12.75">
      <c r="F36" s="106"/>
      <c r="G36" s="107"/>
      <c r="H36" s="108"/>
      <c r="V36" t="s">
        <v>99</v>
      </c>
      <c r="W36" s="54"/>
      <c r="Z36" t="s">
        <v>102</v>
      </c>
      <c r="AA36" s="54"/>
      <c r="AE36" t="s">
        <v>90</v>
      </c>
    </row>
    <row r="37" spans="6:32" ht="12.75">
      <c r="F37" s="106"/>
      <c r="G37" s="109"/>
      <c r="H37" s="109"/>
      <c r="V37" t="s">
        <v>98</v>
      </c>
      <c r="W37" s="54">
        <f>W16</f>
        <v>-0.16666666666666666</v>
      </c>
      <c r="Z37" t="s">
        <v>98</v>
      </c>
      <c r="AA37" s="54">
        <f>AA16</f>
        <v>-0.16666666666666666</v>
      </c>
      <c r="AE37" t="s">
        <v>88</v>
      </c>
      <c r="AF37" t="s">
        <v>89</v>
      </c>
    </row>
    <row r="38" spans="2:32" ht="15">
      <c r="B38" s="1" t="s">
        <v>17</v>
      </c>
      <c r="F38" s="104"/>
      <c r="G38" s="104"/>
      <c r="H38" s="104"/>
      <c r="V38" t="s">
        <v>87</v>
      </c>
      <c r="W38" s="54">
        <f>W37-W14</f>
        <v>-0.23358824828739116</v>
      </c>
      <c r="Z38" t="s">
        <v>87</v>
      </c>
      <c r="AA38" s="54">
        <f>AA37-AA14</f>
        <v>-0.235836824519999</v>
      </c>
      <c r="AD38" t="s">
        <v>100</v>
      </c>
      <c r="AE38" s="54">
        <f>ABS(W15)</f>
        <v>0.06885738384266026</v>
      </c>
      <c r="AF38" s="54">
        <f>ABS(AA15)</f>
        <v>0.07124420408873876</v>
      </c>
    </row>
    <row r="39" spans="2:32" ht="12.75">
      <c r="B39" s="11" t="s">
        <v>16</v>
      </c>
      <c r="V39" t="s">
        <v>86</v>
      </c>
      <c r="W39" s="54">
        <f>W37-W15</f>
        <v>-0.0978092828240064</v>
      </c>
      <c r="Z39" t="s">
        <v>86</v>
      </c>
      <c r="AA39" s="54">
        <f>AA37-AA15</f>
        <v>-0.0954224625779279</v>
      </c>
      <c r="AD39" t="s">
        <v>101</v>
      </c>
      <c r="AE39" s="54">
        <f>ABS(W14)</f>
        <v>0.06692158162072452</v>
      </c>
      <c r="AF39" s="54">
        <f>ABS(AA14)</f>
        <v>0.06917015785333233</v>
      </c>
    </row>
    <row r="41" spans="2:26" ht="12.75">
      <c r="B41" t="s">
        <v>25</v>
      </c>
      <c r="V41" s="105" t="s">
        <v>125</v>
      </c>
      <c r="Z41" t="s">
        <v>114</v>
      </c>
    </row>
    <row r="42" ht="12.75">
      <c r="B42" t="s">
        <v>83</v>
      </c>
    </row>
    <row r="43" spans="22:28" ht="12.75">
      <c r="V43" t="s">
        <v>124</v>
      </c>
      <c r="W43" s="13" t="s">
        <v>2</v>
      </c>
      <c r="X43" s="103" t="s">
        <v>6</v>
      </c>
      <c r="AA43" s="54" t="str">
        <f>W43</f>
        <v>b</v>
      </c>
      <c r="AB43" s="54" t="str">
        <f>X43</f>
        <v>¬b</v>
      </c>
    </row>
    <row r="44" spans="2:28" ht="12.75">
      <c r="B44" t="s">
        <v>61</v>
      </c>
      <c r="V44" t="s">
        <v>120</v>
      </c>
      <c r="W44" s="54">
        <f>C4/E4</f>
        <v>0.6666666666666666</v>
      </c>
      <c r="X44" s="54">
        <f>C5/E5</f>
        <v>0.4444444444444444</v>
      </c>
      <c r="AA44" s="54">
        <f>W44</f>
        <v>0.6666666666666666</v>
      </c>
      <c r="AB44" s="54">
        <f>X44</f>
        <v>0.4444444444444444</v>
      </c>
    </row>
    <row r="45" spans="22:28" ht="12.75">
      <c r="V45" t="s">
        <v>118</v>
      </c>
      <c r="W45" s="54">
        <f>$J$2*$J$2/E4</f>
        <v>0.025609725471294156</v>
      </c>
      <c r="X45" s="54">
        <f>$J$2*$J$2/E5</f>
        <v>0.008536575157098053</v>
      </c>
      <c r="Z45" t="str">
        <f>Z10</f>
        <v>2(n+z²)</v>
      </c>
      <c r="AA45">
        <f>2*(E4+$J$2*$J$2)</f>
        <v>307.68291764138826</v>
      </c>
      <c r="AB45">
        <f>2*(E5+$J$2*$J$2)</f>
        <v>907.6829176413883</v>
      </c>
    </row>
    <row r="46" spans="2:28" ht="12.75">
      <c r="B46" t="s">
        <v>63</v>
      </c>
      <c r="V46" t="s">
        <v>39</v>
      </c>
      <c r="W46" s="54">
        <f>(W44+W45/2)/(1+W45)</f>
        <v>0.6625049592719872</v>
      </c>
      <c r="X46" s="54">
        <f>(X44+X45/2)/(1+X45)</f>
        <v>0.4449146843812761</v>
      </c>
      <c r="Z46" t="str">
        <f>Z11</f>
        <v>z²-1/n+4npq</v>
      </c>
      <c r="AA46">
        <f>$J$2*$J$2-1/E4+4*E4*AA44*(1-AA44)</f>
        <v>137.1681254873608</v>
      </c>
      <c r="AB46">
        <f>$J$2*$J$2-1/E5+4*E5*AB44*(1-AB44)</f>
        <v>448.2836810429164</v>
      </c>
    </row>
    <row r="47" spans="2:28" ht="12.75">
      <c r="B47" t="s">
        <v>47</v>
      </c>
      <c r="C47" t="s">
        <v>128</v>
      </c>
      <c r="V47" t="s">
        <v>68</v>
      </c>
      <c r="W47" s="54">
        <f>$J$2*SQRT((W44*(1-W44)+W45/4)/E4)/(1+W45)</f>
        <v>0.07460739240413672</v>
      </c>
      <c r="X47" s="54">
        <f>$J$2*SQRT((X44*(1-X44)+X45/4)/E5)/(1+X45)</f>
        <v>0.04571844704717957</v>
      </c>
      <c r="Z47" t="str">
        <f>Z12</f>
        <v>2-4p</v>
      </c>
      <c r="AA47">
        <f>2-4*AA44</f>
        <v>-0.6666666666666665</v>
      </c>
      <c r="AB47">
        <f>2-4*AB44</f>
        <v>0.22222222222222232</v>
      </c>
    </row>
    <row r="48" spans="3:28" ht="12.75">
      <c r="C48" t="s">
        <v>133</v>
      </c>
      <c r="V48" t="s">
        <v>109</v>
      </c>
      <c r="W48" s="54">
        <f>W46-W47</f>
        <v>0.5878975668678504</v>
      </c>
      <c r="X48" s="54">
        <f>X46-X47</f>
        <v>0.39919623733409654</v>
      </c>
      <c r="Z48" t="s">
        <v>109</v>
      </c>
      <c r="AA48" s="54">
        <f>MAX(0,MIN(W46,W46-($J$2*SQRT(AA46-AA47)+1)/AA45))</f>
        <v>0.5844682008100726</v>
      </c>
      <c r="AB48" s="54">
        <f>MAX(0,MIN(X46,X46-($J$2*SQRT(AB46-AB47)+1)/AB45))</f>
        <v>0.39810597744026543</v>
      </c>
    </row>
    <row r="49" spans="3:28" ht="12.75">
      <c r="C49" t="s">
        <v>129</v>
      </c>
      <c r="V49" t="s">
        <v>110</v>
      </c>
      <c r="W49" s="54">
        <f>W46+W47</f>
        <v>0.7371123516761239</v>
      </c>
      <c r="X49" s="54">
        <f>X46+X47</f>
        <v>0.4906331314284557</v>
      </c>
      <c r="Z49" t="s">
        <v>110</v>
      </c>
      <c r="AA49" s="54">
        <f>MIN(1,MAX(W46,W46+($J$2*SQRT(AA46+AA47)+1)/AA45))</f>
        <v>0.740179117460424</v>
      </c>
      <c r="AB49" s="54">
        <f>MIN(1,MAX(X46,X46+($J$2*SQRT(AB46+AB47)+1)/AB45))</f>
        <v>0.49174605471705124</v>
      </c>
    </row>
    <row r="50" spans="3:28" ht="12.75">
      <c r="C50" t="s">
        <v>138</v>
      </c>
      <c r="V50" t="s">
        <v>119</v>
      </c>
      <c r="W50" s="54">
        <f>-SQRT((W48-W44)^2+(X49-X44)^2)</f>
        <v>-0.09131246294139064</v>
      </c>
      <c r="X50" s="54">
        <f>SQRT((X48-X44)^2+(W49-W44)^2)</f>
        <v>0.08372571160135102</v>
      </c>
      <c r="AA50" s="54">
        <f>-SQRT((AA48-AA44)^2+(AB49-AB44)^2)</f>
        <v>-0.09483686057414198</v>
      </c>
      <c r="AB50" s="54">
        <f>SQRT((AB48-AB44)^2+(AA49-AA44)^2)</f>
        <v>0.0868984116425725</v>
      </c>
    </row>
    <row r="51" spans="3:24" ht="12.75">
      <c r="C51" t="s">
        <v>46</v>
      </c>
      <c r="W51" s="54"/>
      <c r="X51" s="54"/>
    </row>
    <row r="52" spans="2:27" ht="12.75">
      <c r="B52" t="s">
        <v>49</v>
      </c>
      <c r="C52" t="s">
        <v>62</v>
      </c>
      <c r="V52" t="s">
        <v>117</v>
      </c>
      <c r="W52" s="54">
        <f>X44-W44</f>
        <v>-0.2222222222222222</v>
      </c>
      <c r="X52" s="54"/>
      <c r="AA52" s="54">
        <f>AB44-AA44</f>
        <v>-0.2222222222222222</v>
      </c>
    </row>
    <row r="53" spans="2:27" ht="12.75">
      <c r="B53" t="s">
        <v>50</v>
      </c>
      <c r="C53" t="s">
        <v>130</v>
      </c>
      <c r="V53" t="s">
        <v>87</v>
      </c>
      <c r="W53" s="54">
        <f>W52-X50</f>
        <v>-0.3059479338235732</v>
      </c>
      <c r="X53" s="54"/>
      <c r="AA53" s="54">
        <f>AA52-AB50</f>
        <v>-0.3091206338647947</v>
      </c>
    </row>
    <row r="54" spans="22:27" ht="12.75">
      <c r="V54" t="s">
        <v>86</v>
      </c>
      <c r="W54" s="54">
        <f>W52-W50</f>
        <v>-0.13090975928083157</v>
      </c>
      <c r="X54" s="54"/>
      <c r="AA54" s="54">
        <f>AA52-AA50</f>
        <v>-0.12738536164808023</v>
      </c>
    </row>
    <row r="55" spans="2:27" ht="12.75">
      <c r="B55" t="s">
        <v>131</v>
      </c>
      <c r="W55" s="54"/>
      <c r="X55" s="54"/>
      <c r="AA55" s="54"/>
    </row>
    <row r="56" spans="2:27" ht="12.75">
      <c r="B56" t="s">
        <v>48</v>
      </c>
      <c r="C56" t="s">
        <v>146</v>
      </c>
      <c r="V56" s="100" t="s">
        <v>121</v>
      </c>
      <c r="W56" s="54">
        <f>IF(SIGN(W39)=SIGN(W54),-SIGN(W39)*SQRT(W39*W54),-(W39+W54)/2)</f>
        <v>0.1131555993750263</v>
      </c>
      <c r="X56" s="54"/>
      <c r="AA56" s="54">
        <f>IF(SIGN(AA39)=SIGN(AA54),-SIGN(AA39)*SQRT(AA39*AA54),-(AA39+AA54)/2)</f>
        <v>0.11025164354711338</v>
      </c>
    </row>
    <row r="57" spans="2:27" ht="12.75">
      <c r="B57" t="s">
        <v>55</v>
      </c>
      <c r="C57" t="s">
        <v>132</v>
      </c>
      <c r="V57" s="100" t="s">
        <v>122</v>
      </c>
      <c r="W57" s="54">
        <f>IF(SIGN(W38)=SIGN(W53),-SIGN(W38)*SQRT(W53*W38),-(W38+W53)/2)</f>
        <v>0.26733095954078184</v>
      </c>
      <c r="X57" s="54"/>
      <c r="AA57" s="54">
        <f>IF(SIGN(AA38)=SIGN(AA53),-SIGN(AA38)*SQRT(AA53*AA38),-(AA38+AA53)/2)</f>
        <v>0.2700037567966091</v>
      </c>
    </row>
    <row r="58" spans="2:3" ht="12.75">
      <c r="B58" t="s">
        <v>79</v>
      </c>
      <c r="C58" t="s">
        <v>82</v>
      </c>
    </row>
    <row r="59" spans="22:27" ht="12.75">
      <c r="V59" t="s">
        <v>36</v>
      </c>
      <c r="W59" s="54">
        <f>IF(V4=0,$AA$59,IF(V4=1,1-$AA$59,V4))</f>
        <v>0.3333333333333333</v>
      </c>
      <c r="X59" s="54">
        <f>IF(W4=0,$AA$59,IF(W4=1,1-$AA$59,W4))</f>
        <v>0.16666666666666666</v>
      </c>
      <c r="Z59" t="s">
        <v>134</v>
      </c>
      <c r="AA59">
        <v>1E-10</v>
      </c>
    </row>
    <row r="60" spans="2:28" ht="12.75">
      <c r="B60" t="s">
        <v>97</v>
      </c>
      <c r="V60" t="s">
        <v>109</v>
      </c>
      <c r="W60" s="54">
        <f>IF(W24=0,$AA$59,IF(W24=1,1-$AA$59,W24))</f>
        <v>0.2823934472922627</v>
      </c>
      <c r="X60" s="54">
        <f>IF(W31=0,$AA$59,IF(W31=1,1-$AA$59,W31))</f>
        <v>0.1287653312036807</v>
      </c>
      <c r="AA60" s="54">
        <f>IF(AA24=0,$AA$59,IF(AA24=1,1-$AA$59,AA24))</f>
        <v>0.2808135869737572</v>
      </c>
      <c r="AB60" s="54">
        <f>IF(AA31=0,$AA$59,IF(AA31=1,1-$AA$59,AA31))</f>
        <v>0.12728513988639736</v>
      </c>
    </row>
    <row r="61" spans="22:28" ht="12.75">
      <c r="V61" s="113" t="s">
        <v>110</v>
      </c>
      <c r="W61" s="54">
        <f>IF(W23=0,$AA$59,IF(W23=1,1-$AA$59,W23))</f>
        <v>0.38848754311591926</v>
      </c>
      <c r="X61" s="54">
        <f>IF(W30=0,$AA$59,IF(W30=1,1-$AA$59,W30))</f>
        <v>0.21299664961268325</v>
      </c>
      <c r="AA61" s="54">
        <f>IF(AA23=0,$AA$59,IF(AA23=1,1-$AA$59,AA23))</f>
        <v>0.39019813866940956</v>
      </c>
      <c r="AB61" s="54">
        <f>IF(AA30=0,$AA$59,IF(AA30=1,1-$AA$59,AA30))</f>
        <v>0.21480618119022257</v>
      </c>
    </row>
    <row r="62" spans="2:12" ht="12.75">
      <c r="B62" t="s">
        <v>66</v>
      </c>
      <c r="C62" t="s">
        <v>93</v>
      </c>
      <c r="L62" t="s">
        <v>96</v>
      </c>
    </row>
    <row r="63" spans="3:28" ht="12.75">
      <c r="C63" t="s">
        <v>94</v>
      </c>
      <c r="L63" t="s">
        <v>95</v>
      </c>
      <c r="V63" s="11" t="s">
        <v>104</v>
      </c>
      <c r="W63" s="11" t="s">
        <v>106</v>
      </c>
      <c r="X63" s="11" t="s">
        <v>107</v>
      </c>
      <c r="Z63" t="s">
        <v>114</v>
      </c>
      <c r="AA63" t="str">
        <f>W63</f>
        <v>p1</v>
      </c>
      <c r="AB63" t="str">
        <f>X63</f>
        <v>p2</v>
      </c>
    </row>
    <row r="64" spans="3:28" ht="12.75">
      <c r="C64" t="s">
        <v>92</v>
      </c>
      <c r="L64" t="s">
        <v>91</v>
      </c>
      <c r="V64" s="11"/>
      <c r="W64" s="11">
        <f aca="true" t="shared" si="0" ref="W64:X66">W59/(1-W59)</f>
        <v>0.4999999999999999</v>
      </c>
      <c r="X64" s="11">
        <f t="shared" si="0"/>
        <v>0.19999999999999998</v>
      </c>
      <c r="AA64">
        <f>W64</f>
        <v>0.4999999999999999</v>
      </c>
      <c r="AB64">
        <f>X64</f>
        <v>0.19999999999999998</v>
      </c>
    </row>
    <row r="65" spans="3:28" ht="12.75">
      <c r="C65" t="s">
        <v>127</v>
      </c>
      <c r="L65" t="s">
        <v>126</v>
      </c>
      <c r="V65" t="s">
        <v>109</v>
      </c>
      <c r="W65" s="54">
        <f t="shared" si="0"/>
        <v>0.3935212774001442</v>
      </c>
      <c r="X65" s="54">
        <f t="shared" si="0"/>
        <v>0.14779638117658972</v>
      </c>
      <c r="Y65" s="54"/>
      <c r="Z65" s="112">
        <f>X65</f>
        <v>0.14779638117658972</v>
      </c>
      <c r="AA65" s="54">
        <f>AA60/(1-AA60)</f>
        <v>0.3904600836271783</v>
      </c>
      <c r="AB65" s="54">
        <f>AB60/(1-AB60)</f>
        <v>0.1458496305079857</v>
      </c>
    </row>
    <row r="66" spans="22:28" ht="12.75">
      <c r="V66" t="s">
        <v>110</v>
      </c>
      <c r="W66" s="54">
        <f t="shared" si="0"/>
        <v>0.6352896637550616</v>
      </c>
      <c r="X66" s="54">
        <f t="shared" si="0"/>
        <v>0.27064262116274196</v>
      </c>
      <c r="Y66" s="54"/>
      <c r="Z66" s="54"/>
      <c r="AA66" s="54">
        <f>AA61/(1-AA61)</f>
        <v>0.6398769230024904</v>
      </c>
      <c r="AB66" s="54">
        <f>AB61/(1-AB61)</f>
        <v>0.27357090191544403</v>
      </c>
    </row>
    <row r="67" spans="23:27" ht="12.75">
      <c r="W67" s="54"/>
      <c r="X67" s="54"/>
      <c r="Y67" s="54"/>
      <c r="Z67" s="54"/>
      <c r="AA67" s="54"/>
    </row>
    <row r="68" spans="22:28" ht="12.75">
      <c r="V68" s="92" t="s">
        <v>105</v>
      </c>
      <c r="W68" s="93">
        <f aca="true" t="shared" si="1" ref="W68:X70">LN(W64)</f>
        <v>-0.6931471805599455</v>
      </c>
      <c r="X68" s="93">
        <f>LN(X64)</f>
        <v>-1.6094379124341005</v>
      </c>
      <c r="Y68" s="93"/>
      <c r="Z68" s="93"/>
      <c r="AA68" s="93">
        <f aca="true" t="shared" si="2" ref="AA68:AB70">LN(AA64)</f>
        <v>-0.6931471805599455</v>
      </c>
      <c r="AB68" s="92">
        <f t="shared" si="2"/>
        <v>-1.6094379124341005</v>
      </c>
    </row>
    <row r="69" spans="22:28" ht="12.75">
      <c r="V69" s="94" t="s">
        <v>109</v>
      </c>
      <c r="W69" s="93">
        <f t="shared" si="1"/>
        <v>-0.9326201404133518</v>
      </c>
      <c r="X69" s="93">
        <f>LN(X65)</f>
        <v>-1.9119197553646101</v>
      </c>
      <c r="Y69" s="95"/>
      <c r="Z69" s="95"/>
      <c r="AA69" s="93">
        <f t="shared" si="2"/>
        <v>-0.9404295335514593</v>
      </c>
      <c r="AB69" s="93">
        <f t="shared" si="2"/>
        <v>-1.9251791160416143</v>
      </c>
    </row>
    <row r="70" spans="22:29" ht="12.75">
      <c r="V70" s="95" t="s">
        <v>110</v>
      </c>
      <c r="W70" s="93">
        <f t="shared" si="1"/>
        <v>-0.4536742207065391</v>
      </c>
      <c r="X70" s="93">
        <f t="shared" si="1"/>
        <v>-1.3069560695035911</v>
      </c>
      <c r="Y70" s="95"/>
      <c r="Z70" s="95"/>
      <c r="AA70" s="93">
        <f t="shared" si="2"/>
        <v>-0.4464794289305458</v>
      </c>
      <c r="AB70" s="93">
        <f t="shared" si="2"/>
        <v>-1.2961944515378165</v>
      </c>
      <c r="AC70" s="54"/>
    </row>
    <row r="71" spans="22:28" ht="12.75">
      <c r="V71" s="95" t="s">
        <v>111</v>
      </c>
      <c r="W71" s="95">
        <f>SQRT((W68-W69)^2+(X68-X70)^2)</f>
        <v>0.3858011972552554</v>
      </c>
      <c r="X71" s="95">
        <f>SQRT((W68-W70)^2+(X68-X69)^2)</f>
        <v>0.38580119725525563</v>
      </c>
      <c r="Y71" s="95"/>
      <c r="Z71" s="95"/>
      <c r="AA71" s="95">
        <f>SQRT((AA68-AA69)^2+(AB68-AB70)^2)</f>
        <v>0.39908649174746746</v>
      </c>
      <c r="AB71" s="95">
        <f>SQRT((AA68-AA70)^2+(AB68-AB69)^2)</f>
        <v>0.4006712958890675</v>
      </c>
    </row>
    <row r="72" spans="22:28" ht="12.75">
      <c r="V72" s="95" t="s">
        <v>112</v>
      </c>
      <c r="W72" s="96">
        <f>W68-X68-W71</f>
        <v>0.5304895346188996</v>
      </c>
      <c r="X72" s="96"/>
      <c r="Y72" s="96"/>
      <c r="Z72" s="96"/>
      <c r="AA72" s="96">
        <f>AA68-AB68-AA71</f>
        <v>0.5172042401266875</v>
      </c>
      <c r="AB72" s="95"/>
    </row>
    <row r="73" spans="22:28" ht="12.75">
      <c r="V73" s="95" t="s">
        <v>113</v>
      </c>
      <c r="W73" s="96">
        <f>W68-X68+X71</f>
        <v>1.3020919291294106</v>
      </c>
      <c r="X73" s="96"/>
      <c r="Y73" s="96"/>
      <c r="Z73" s="96"/>
      <c r="AA73" s="96">
        <f>AA68-AB68+AB71</f>
        <v>1.3169620277632226</v>
      </c>
      <c r="AB73" s="95"/>
    </row>
    <row r="74" spans="23:27" ht="12.75">
      <c r="W74" s="54"/>
      <c r="X74" s="54"/>
      <c r="Y74" s="54"/>
      <c r="Z74" s="54"/>
      <c r="AA74" s="54"/>
    </row>
    <row r="75" spans="22:28" ht="12.75">
      <c r="V75" s="11" t="s">
        <v>108</v>
      </c>
      <c r="W75" s="90">
        <f>W64/X64</f>
        <v>2.4999999999999996</v>
      </c>
      <c r="X75" s="54"/>
      <c r="Y75" s="54"/>
      <c r="Z75" s="90"/>
      <c r="AA75" s="90">
        <f>AA64/AB64</f>
        <v>2.4999999999999996</v>
      </c>
      <c r="AB75" s="54"/>
    </row>
    <row r="76" spans="22:28" ht="12.75">
      <c r="V76" t="s">
        <v>115</v>
      </c>
      <c r="W76" s="97">
        <f>EXP(W72)</f>
        <v>1.6997641984015972</v>
      </c>
      <c r="X76" s="97"/>
      <c r="Y76" s="97"/>
      <c r="Z76" s="97"/>
      <c r="AA76" s="97">
        <f>EXP(AA72)</f>
        <v>1.6773316717621503</v>
      </c>
      <c r="AB76" s="98"/>
    </row>
    <row r="77" spans="22:27" ht="12.75">
      <c r="V77" t="s">
        <v>116</v>
      </c>
      <c r="W77" s="91">
        <f>EXP(W73)</f>
        <v>3.676980610532506</v>
      </c>
      <c r="X77" s="54"/>
      <c r="Y77" s="54"/>
      <c r="Z77" s="54"/>
      <c r="AA77" s="91">
        <f>EXP(AA73)</f>
        <v>3.7320662240995275</v>
      </c>
    </row>
    <row r="78" spans="23:27" ht="12.75">
      <c r="W78" t="str">
        <f>IF(OR(W76&gt;1,W77&lt;1),"s","ns")</f>
        <v>s</v>
      </c>
      <c r="AA78" t="str">
        <f>IF(OR(AA76&gt;1,AA77&lt;1),"s","ns")</f>
        <v>s</v>
      </c>
    </row>
    <row r="80" spans="22:29" ht="12.75">
      <c r="V80" t="s">
        <v>141</v>
      </c>
      <c r="W80" s="41">
        <f>V4</f>
        <v>0.3333333333333333</v>
      </c>
      <c r="X80" s="41">
        <f>W4</f>
        <v>0.16666666666666666</v>
      </c>
      <c r="Z80" s="114"/>
      <c r="AA80" s="115"/>
      <c r="AB80" s="115"/>
      <c r="AC80" s="114"/>
    </row>
    <row r="81" spans="22:29" ht="12.75">
      <c r="V81" t="s">
        <v>109</v>
      </c>
      <c r="W81" s="54">
        <f>W24</f>
        <v>0.2823934472922627</v>
      </c>
      <c r="X81" s="54">
        <f>W31</f>
        <v>0.1287653312036807</v>
      </c>
      <c r="Z81" s="114"/>
      <c r="AA81" s="115"/>
      <c r="AB81" s="115"/>
      <c r="AC81" s="114"/>
    </row>
    <row r="82" spans="22:29" ht="12.75">
      <c r="V82" t="s">
        <v>110</v>
      </c>
      <c r="W82" s="54">
        <f>W23</f>
        <v>0.38848754311591926</v>
      </c>
      <c r="X82" s="54">
        <f>W30</f>
        <v>0.21299664961268325</v>
      </c>
      <c r="Z82" s="114"/>
      <c r="AA82" s="115"/>
      <c r="AB82" s="115"/>
      <c r="AC82" s="114"/>
    </row>
    <row r="83" spans="26:29" ht="12.75">
      <c r="Z83" s="114"/>
      <c r="AA83" s="114"/>
      <c r="AB83" s="114"/>
      <c r="AC83" s="114"/>
    </row>
    <row r="84" spans="22:29" ht="12.75">
      <c r="V84" s="92" t="s">
        <v>105</v>
      </c>
      <c r="W84" s="93">
        <f aca="true" t="shared" si="3" ref="W84:X86">LN(W80)</f>
        <v>-1.0986122886681098</v>
      </c>
      <c r="X84" s="93">
        <f t="shared" si="3"/>
        <v>-1.791759469228055</v>
      </c>
      <c r="Z84" s="114"/>
      <c r="AA84" s="116"/>
      <c r="AB84" s="116"/>
      <c r="AC84" s="114"/>
    </row>
    <row r="85" spans="22:29" ht="12.75">
      <c r="V85" s="94" t="s">
        <v>109</v>
      </c>
      <c r="W85" s="93">
        <f t="shared" si="3"/>
        <v>-1.264453977271555</v>
      </c>
      <c r="X85" s="93">
        <f t="shared" si="3"/>
        <v>-2.0497636692172905</v>
      </c>
      <c r="Z85" s="114"/>
      <c r="AA85" s="116"/>
      <c r="AB85" s="116"/>
      <c r="AC85" s="114"/>
    </row>
    <row r="86" spans="22:29" ht="12.75">
      <c r="V86" s="95" t="s">
        <v>110</v>
      </c>
      <c r="W86" s="93">
        <f t="shared" si="3"/>
        <v>-0.9454941737401855</v>
      </c>
      <c r="X86" s="93">
        <f t="shared" si="3"/>
        <v>-1.5464788429143412</v>
      </c>
      <c r="Z86" s="114"/>
      <c r="AA86" s="116"/>
      <c r="AB86" s="116"/>
      <c r="AC86" s="114"/>
    </row>
    <row r="87" spans="22:29" ht="12.75">
      <c r="V87" s="95" t="s">
        <v>111</v>
      </c>
      <c r="W87" s="95">
        <f>SQRT((W84-W85)^2+(X84-X86)^2)</f>
        <v>0.2960845340839163</v>
      </c>
      <c r="X87" s="95">
        <f>SQRT((W84-W86)^2+(X84-X85)^2)</f>
        <v>0.30001887329160887</v>
      </c>
      <c r="Z87" s="114"/>
      <c r="AA87" s="117"/>
      <c r="AB87" s="117"/>
      <c r="AC87" s="114"/>
    </row>
    <row r="88" spans="22:29" ht="12.75">
      <c r="V88" s="95" t="s">
        <v>112</v>
      </c>
      <c r="W88" s="96">
        <f>W84-X84-W87</f>
        <v>0.3970626464760289</v>
      </c>
      <c r="X88" s="96"/>
      <c r="Z88" s="114"/>
      <c r="AA88" s="117"/>
      <c r="AB88" s="117"/>
      <c r="AC88" s="114"/>
    </row>
    <row r="89" spans="22:29" ht="12.75">
      <c r="V89" s="95" t="s">
        <v>113</v>
      </c>
      <c r="W89" s="96">
        <f>W84-X84+X87</f>
        <v>0.9931660538515541</v>
      </c>
      <c r="X89" s="96"/>
      <c r="Z89" s="114"/>
      <c r="AA89" s="117"/>
      <c r="AB89" s="117"/>
      <c r="AC89" s="114"/>
    </row>
    <row r="90" spans="26:29" ht="12.75">
      <c r="Z90" s="114"/>
      <c r="AA90" s="114"/>
      <c r="AB90" s="114"/>
      <c r="AC90" s="114"/>
    </row>
    <row r="91" spans="22:29" ht="12.75">
      <c r="V91" s="11" t="s">
        <v>140</v>
      </c>
      <c r="W91" s="90">
        <f>W80/X80</f>
        <v>2</v>
      </c>
      <c r="Z91" s="118"/>
      <c r="AA91" s="116"/>
      <c r="AB91" s="114"/>
      <c r="AC91" s="114"/>
    </row>
    <row r="92" spans="22:29" ht="12.75">
      <c r="V92" t="s">
        <v>115</v>
      </c>
      <c r="W92" s="97">
        <f>EXP(W88)</f>
        <v>1.4874491105776104</v>
      </c>
      <c r="Z92" s="114"/>
      <c r="AA92" s="117"/>
      <c r="AB92" s="114"/>
      <c r="AC92" s="114"/>
    </row>
    <row r="93" spans="22:29" ht="12.75">
      <c r="V93" t="s">
        <v>116</v>
      </c>
      <c r="W93" s="91">
        <f>EXP(W89)</f>
        <v>2.6997685681906427</v>
      </c>
      <c r="Z93" s="114"/>
      <c r="AA93" s="117"/>
      <c r="AB93" s="114"/>
      <c r="AC93" s="114"/>
    </row>
    <row r="94" spans="23:29" ht="12.75">
      <c r="W94" t="str">
        <f>IF(OR(W92&gt;1,W93&lt;1),"s","ns")</f>
        <v>s</v>
      </c>
      <c r="Z94" s="114"/>
      <c r="AA94" s="114"/>
      <c r="AB94" s="114"/>
      <c r="AC94" s="114"/>
    </row>
    <row r="95" spans="26:29" ht="12.75">
      <c r="Z95" s="114"/>
      <c r="AA95" s="114"/>
      <c r="AB95" s="114"/>
      <c r="AC95" s="114"/>
    </row>
    <row r="96" spans="22:29" ht="12.75">
      <c r="V96" t="s">
        <v>139</v>
      </c>
      <c r="W96">
        <f>1/W91-1</f>
        <v>-0.5</v>
      </c>
      <c r="Z96" s="114"/>
      <c r="AA96" s="114"/>
      <c r="AB96" s="114"/>
      <c r="AC96" s="114"/>
    </row>
    <row r="97" ht="12.75">
      <c r="W97">
        <f>1/W93-1</f>
        <v>-0.6295978804323255</v>
      </c>
    </row>
    <row r="98" ht="12.75">
      <c r="W98">
        <f>1/W92-1</f>
        <v>-0.3277080924054758</v>
      </c>
    </row>
  </sheetData>
  <sheetProtection/>
  <mergeCells count="2">
    <mergeCell ref="C2:D2"/>
    <mergeCell ref="A4:A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2.00390625" style="0" customWidth="1"/>
    <col min="2" max="2" width="8.57421875" style="0" customWidth="1"/>
    <col min="6" max="6" width="9.7109375" style="0" customWidth="1"/>
    <col min="7" max="7" width="10.7109375" style="0" customWidth="1"/>
    <col min="9" max="9" width="3.7109375" style="0" customWidth="1"/>
    <col min="13" max="13" width="3.7109375" style="0" customWidth="1"/>
    <col min="14" max="14" width="9.8515625" style="0" customWidth="1"/>
    <col min="16" max="16" width="10.00390625" style="0" customWidth="1"/>
    <col min="17" max="17" width="3.7109375" style="0" customWidth="1"/>
    <col min="21" max="21" width="3.7109375" style="0" customWidth="1"/>
    <col min="25" max="25" width="3.7109375" style="0" customWidth="1"/>
    <col min="26" max="26" width="12.28125" style="0" customWidth="1"/>
    <col min="30" max="30" width="2.57421875" style="0" customWidth="1"/>
    <col min="31" max="31" width="12.8515625" style="0" customWidth="1"/>
  </cols>
  <sheetData>
    <row r="1" ht="15">
      <c r="B1" s="1" t="s">
        <v>18</v>
      </c>
    </row>
    <row r="2" spans="1:26" ht="15">
      <c r="A2" s="2" t="s">
        <v>0</v>
      </c>
      <c r="C2" s="122" t="s">
        <v>4</v>
      </c>
      <c r="D2" s="122"/>
      <c r="G2" t="s">
        <v>123</v>
      </c>
      <c r="H2" s="101">
        <v>0.05</v>
      </c>
      <c r="I2" t="s">
        <v>38</v>
      </c>
      <c r="J2" s="102">
        <f>NORMSINV(1-(H2/2))</f>
        <v>1.9599639845400536</v>
      </c>
      <c r="V2" t="s">
        <v>45</v>
      </c>
      <c r="Z2" t="s">
        <v>67</v>
      </c>
    </row>
    <row r="3" spans="2:24" ht="12.75">
      <c r="B3" t="s">
        <v>10</v>
      </c>
      <c r="C3" s="5" t="s">
        <v>1</v>
      </c>
      <c r="D3" s="5" t="s">
        <v>5</v>
      </c>
      <c r="E3" s="13" t="s">
        <v>7</v>
      </c>
      <c r="O3" s="41"/>
      <c r="R3" s="41"/>
      <c r="S3" s="54"/>
      <c r="V3" s="5" t="str">
        <f>C3</f>
        <v>a</v>
      </c>
      <c r="W3" s="5" t="str">
        <f>D3</f>
        <v>¬a</v>
      </c>
      <c r="X3" t="s">
        <v>43</v>
      </c>
    </row>
    <row r="4" spans="1:27" ht="12.75" customHeight="1">
      <c r="A4" s="121" t="s">
        <v>3</v>
      </c>
      <c r="B4" s="4" t="s">
        <v>2</v>
      </c>
      <c r="C4" s="14">
        <v>100</v>
      </c>
      <c r="D4" s="18">
        <f>E4-C4</f>
        <v>50</v>
      </c>
      <c r="E4" s="21">
        <v>150</v>
      </c>
      <c r="G4" s="26" t="s">
        <v>15</v>
      </c>
      <c r="U4" s="8" t="s">
        <v>36</v>
      </c>
      <c r="V4" s="50">
        <f>C4/C6</f>
        <v>0.3333333333333333</v>
      </c>
      <c r="W4" s="51">
        <f>D4/D6</f>
        <v>0.16666666666666666</v>
      </c>
      <c r="X4" s="41">
        <f>E4/E6</f>
        <v>0.25</v>
      </c>
      <c r="Z4" s="54">
        <f>W23-V4</f>
        <v>0.05515420978258595</v>
      </c>
      <c r="AA4" s="54">
        <f>W30-W4</f>
        <v>0.04632998294601659</v>
      </c>
    </row>
    <row r="5" spans="1:27" ht="12.75">
      <c r="A5" s="121"/>
      <c r="B5" s="4" t="s">
        <v>6</v>
      </c>
      <c r="C5" s="22">
        <v>200</v>
      </c>
      <c r="D5" s="20">
        <f>E5-C5</f>
        <v>250</v>
      </c>
      <c r="E5" s="57">
        <v>450</v>
      </c>
      <c r="U5" s="8" t="s">
        <v>40</v>
      </c>
      <c r="V5" s="52">
        <f>1-V4</f>
        <v>0.6666666666666667</v>
      </c>
      <c r="W5" s="53">
        <f>1-W4</f>
        <v>0.8333333333333334</v>
      </c>
      <c r="X5" s="41">
        <f>1-X4</f>
        <v>0.75</v>
      </c>
      <c r="Z5" s="54">
        <f>V4-W24</f>
        <v>0.05093988604107064</v>
      </c>
      <c r="AA5" s="54">
        <f>W4-W31</f>
        <v>0.03790133546298596</v>
      </c>
    </row>
    <row r="6" spans="2:23" ht="12.75">
      <c r="B6" s="12" t="s">
        <v>7</v>
      </c>
      <c r="C6" s="6">
        <f>SUM(C4:C5)</f>
        <v>300</v>
      </c>
      <c r="D6" s="15">
        <f>SUM(D4:D5)</f>
        <v>300</v>
      </c>
      <c r="E6" s="16">
        <f>SUM(E4:E5)</f>
        <v>600</v>
      </c>
      <c r="G6" s="104"/>
      <c r="H6" s="104"/>
      <c r="I6" s="104"/>
      <c r="V6" t="s">
        <v>72</v>
      </c>
      <c r="W6" t="s">
        <v>73</v>
      </c>
    </row>
    <row r="7" spans="2:24" ht="12.75">
      <c r="B7" s="8"/>
      <c r="C7" s="10"/>
      <c r="D7" s="10"/>
      <c r="E7" s="10"/>
      <c r="X7" s="54"/>
    </row>
    <row r="8" spans="1:31" ht="15">
      <c r="A8" s="2" t="s">
        <v>8</v>
      </c>
      <c r="F8" t="s">
        <v>47</v>
      </c>
      <c r="N8" t="s">
        <v>49</v>
      </c>
      <c r="R8" t="s">
        <v>50</v>
      </c>
      <c r="V8" t="s">
        <v>48</v>
      </c>
      <c r="Z8" t="s">
        <v>55</v>
      </c>
      <c r="AE8" t="s">
        <v>79</v>
      </c>
    </row>
    <row r="9" spans="1:33" ht="12.75">
      <c r="A9" s="56" t="s">
        <v>52</v>
      </c>
      <c r="F9" s="28" t="s">
        <v>14</v>
      </c>
      <c r="G9" s="28"/>
      <c r="H9" s="28"/>
      <c r="J9" s="28" t="s">
        <v>53</v>
      </c>
      <c r="K9" s="28"/>
      <c r="L9" s="28"/>
      <c r="N9" s="64" t="s">
        <v>22</v>
      </c>
      <c r="O9" s="65"/>
      <c r="P9" s="66"/>
      <c r="R9" s="28" t="s">
        <v>23</v>
      </c>
      <c r="S9" s="28"/>
      <c r="T9" s="28"/>
      <c r="V9" s="28" t="s">
        <v>34</v>
      </c>
      <c r="W9" s="28"/>
      <c r="X9" s="28"/>
      <c r="Z9" s="64" t="s">
        <v>58</v>
      </c>
      <c r="AA9" s="65"/>
      <c r="AB9" s="65"/>
      <c r="AC9" s="66"/>
      <c r="AE9" s="28" t="s">
        <v>77</v>
      </c>
      <c r="AF9" s="28"/>
      <c r="AG9" s="28"/>
    </row>
    <row r="10" spans="1:33" ht="12.75">
      <c r="A10" s="3"/>
      <c r="B10" t="s">
        <v>9</v>
      </c>
      <c r="C10" s="5" t="str">
        <f>$C$3</f>
        <v>a</v>
      </c>
      <c r="D10" s="5" t="str">
        <f>$D$3</f>
        <v>¬a</v>
      </c>
      <c r="F10" s="29" t="s">
        <v>11</v>
      </c>
      <c r="G10" s="30" t="str">
        <f>$C$3</f>
        <v>a</v>
      </c>
      <c r="H10" s="30" t="str">
        <f>$D$3</f>
        <v>¬a</v>
      </c>
      <c r="J10" s="29"/>
      <c r="K10" s="30"/>
      <c r="L10" s="30"/>
      <c r="N10" s="74" t="s">
        <v>11</v>
      </c>
      <c r="O10" s="30" t="str">
        <f>$C$3</f>
        <v>a</v>
      </c>
      <c r="P10" s="75" t="str">
        <f>$D$3</f>
        <v>¬a</v>
      </c>
      <c r="R10" s="35" t="s">
        <v>13</v>
      </c>
      <c r="S10" s="30" t="str">
        <f>$C$3</f>
        <v>a</v>
      </c>
      <c r="T10" s="30" t="str">
        <f>$D$3</f>
        <v>¬a</v>
      </c>
      <c r="V10" s="28"/>
      <c r="W10" s="30" t="str">
        <f>$C$3</f>
        <v>a</v>
      </c>
      <c r="X10" s="30" t="str">
        <f>$D$3</f>
        <v>¬a</v>
      </c>
      <c r="Z10" s="67" t="s">
        <v>60</v>
      </c>
      <c r="AA10" s="61">
        <f>2*(C6+$J$2*$J$2)</f>
        <v>607.6829176413883</v>
      </c>
      <c r="AB10" s="61">
        <f>2*(D6+$J$2*$J$2)</f>
        <v>607.6829176413883</v>
      </c>
      <c r="AC10" s="68"/>
      <c r="AE10" s="28"/>
      <c r="AF10" s="28"/>
      <c r="AG10" s="28"/>
    </row>
    <row r="11" spans="1:33" ht="12.75">
      <c r="A11" s="3"/>
      <c r="B11" s="4" t="str">
        <f>$B$4</f>
        <v>b</v>
      </c>
      <c r="C11" s="17">
        <f>$E4*C$6/$E$6</f>
        <v>75</v>
      </c>
      <c r="D11" s="18">
        <f>$E4*D$6/$E$6</f>
        <v>75</v>
      </c>
      <c r="F11" s="28"/>
      <c r="G11" s="43">
        <f>(C4-C11)^2/C11</f>
        <v>8.333333333333334</v>
      </c>
      <c r="H11" s="43">
        <f>(D4-D11)^2/D11</f>
        <v>8.333333333333334</v>
      </c>
      <c r="J11" s="28" t="s">
        <v>30</v>
      </c>
      <c r="K11" s="39" t="s">
        <v>31</v>
      </c>
      <c r="L11" s="31"/>
      <c r="N11" s="67"/>
      <c r="O11" s="31">
        <f>(ABS(C4-C11)-0.5)^2/C11</f>
        <v>8.003333333333334</v>
      </c>
      <c r="P11" s="76">
        <f>(ABS(D4-D11)-0.5)^2/D11</f>
        <v>8.003333333333334</v>
      </c>
      <c r="R11" s="28"/>
      <c r="S11" s="34">
        <f>IF(C4=0,0,2*C4*LN(C4/C11))</f>
        <v>57.53641449035617</v>
      </c>
      <c r="T11" s="34">
        <f>IF(D4=0,0,2*D4*LN(D4/D11))</f>
        <v>-40.54651081081644</v>
      </c>
      <c r="V11" s="28" t="s">
        <v>44</v>
      </c>
      <c r="W11" s="28">
        <f>$J$2*$J$2/C6</f>
        <v>0.012804862735647078</v>
      </c>
      <c r="X11" s="28">
        <f>$J$2*$J$2/D6</f>
        <v>0.012804862735647078</v>
      </c>
      <c r="Z11" s="67" t="s">
        <v>59</v>
      </c>
      <c r="AA11" s="61">
        <f>$J$2*$J$2-(1/C6)+(4*C6*V4*V5)</f>
        <v>270.5047921540275</v>
      </c>
      <c r="AB11" s="61">
        <f>$J$2*$J$2-(1/D6)+(4*D6*W4*W5)</f>
        <v>170.50479215402748</v>
      </c>
      <c r="AC11" s="68"/>
      <c r="AE11" s="28" t="s">
        <v>80</v>
      </c>
      <c r="AF11" s="28"/>
      <c r="AG11" s="28"/>
    </row>
    <row r="12" spans="1:33" ht="12.75">
      <c r="A12" s="3"/>
      <c r="B12" s="4" t="str">
        <f>$B$5</f>
        <v>¬b</v>
      </c>
      <c r="C12" s="19">
        <f>$E5*C$6/$E$6</f>
        <v>225</v>
      </c>
      <c r="D12" s="20">
        <f>$E5*D$6/$E$6</f>
        <v>225</v>
      </c>
      <c r="F12" s="28"/>
      <c r="G12" s="43">
        <f>(C5-C12)^2/C12</f>
        <v>2.7777777777777777</v>
      </c>
      <c r="H12" s="43">
        <f>(D5-D12)^2/D12</f>
        <v>2.7777777777777777</v>
      </c>
      <c r="J12" s="38" t="s">
        <v>84</v>
      </c>
      <c r="K12" s="31"/>
      <c r="L12" s="31"/>
      <c r="N12" s="67"/>
      <c r="O12" s="31">
        <f>(ABS(C5-C12)-0.5)^2/C12</f>
        <v>2.667777777777778</v>
      </c>
      <c r="P12" s="76">
        <f>(ABS(D5-D12)-0.5)^2/D12</f>
        <v>2.667777777777778</v>
      </c>
      <c r="R12" s="28"/>
      <c r="S12" s="34">
        <f>IF(C5=0,0,2*C5*LN(C5/C12))</f>
        <v>-47.113214262553406</v>
      </c>
      <c r="T12" s="34">
        <f>IF(D5=0,0,2*D5*LN(D5/D12))</f>
        <v>52.68025782891318</v>
      </c>
      <c r="V12" s="28"/>
      <c r="W12" s="31"/>
      <c r="X12" s="28"/>
      <c r="Z12" s="67" t="s">
        <v>56</v>
      </c>
      <c r="AA12" s="61">
        <f>2-4*V4</f>
        <v>0.6666666666666667</v>
      </c>
      <c r="AB12" s="61">
        <f>2-4*W4</f>
        <v>1.3333333333333335</v>
      </c>
      <c r="AC12" s="68"/>
      <c r="AE12" s="28"/>
      <c r="AF12" s="28"/>
      <c r="AG12" s="28"/>
    </row>
    <row r="13" spans="1:33" ht="12.75">
      <c r="A13" s="3"/>
      <c r="C13" s="36"/>
      <c r="D13" s="36"/>
      <c r="F13" s="32" t="s">
        <v>7</v>
      </c>
      <c r="G13" s="33">
        <f>SUM(G11:H12)</f>
        <v>22.222222222222225</v>
      </c>
      <c r="H13" s="35"/>
      <c r="J13" s="40" t="s">
        <v>85</v>
      </c>
      <c r="K13" s="37"/>
      <c r="L13" s="28"/>
      <c r="N13" s="70" t="s">
        <v>7</v>
      </c>
      <c r="O13" s="33">
        <f>SUM(O11:P12)</f>
        <v>21.342222222222226</v>
      </c>
      <c r="P13" s="68"/>
      <c r="R13" s="32" t="s">
        <v>7</v>
      </c>
      <c r="S13" s="33">
        <f>SUM(S11:T12)</f>
        <v>22.5569472458995</v>
      </c>
      <c r="T13" s="28"/>
      <c r="V13" s="28"/>
      <c r="W13" s="31"/>
      <c r="X13" s="31"/>
      <c r="Z13" s="67"/>
      <c r="AA13" s="38"/>
      <c r="AB13" s="38"/>
      <c r="AC13" s="68"/>
      <c r="AE13" s="28"/>
      <c r="AF13" s="28"/>
      <c r="AG13" s="28"/>
    </row>
    <row r="14" spans="1:33" ht="12.75">
      <c r="A14" s="27" t="s">
        <v>19</v>
      </c>
      <c r="F14" s="28" t="s">
        <v>12</v>
      </c>
      <c r="G14" s="34">
        <f>CHIDIST(G13,1)</f>
        <v>2.42846747297584E-06</v>
      </c>
      <c r="H14" s="35" t="str">
        <f>IF((G14&lt;H2),"s","ns")</f>
        <v>s</v>
      </c>
      <c r="J14" s="38" t="s">
        <v>54</v>
      </c>
      <c r="K14" s="37"/>
      <c r="L14" s="35"/>
      <c r="N14" s="67" t="s">
        <v>12</v>
      </c>
      <c r="O14" s="37">
        <f>CHIDIST(O13,1)</f>
        <v>3.8417620981830605E-06</v>
      </c>
      <c r="P14" s="77" t="str">
        <f>IF((O14&lt;$H$2),"s","ns")</f>
        <v>s</v>
      </c>
      <c r="R14" s="28" t="s">
        <v>12</v>
      </c>
      <c r="S14" s="34">
        <f>CHIDIST(S13,1)</f>
        <v>2.0400545153694343E-06</v>
      </c>
      <c r="T14" s="35" t="str">
        <f>IF((S14&lt;$H$2),"s","ns")</f>
        <v>s</v>
      </c>
      <c r="V14" s="28" t="s">
        <v>69</v>
      </c>
      <c r="W14" s="44">
        <f>J2*SQRT(W23*(1-W23)/C6+W31*(1-W31)/D6)</f>
        <v>0.06692158162072452</v>
      </c>
      <c r="X14" s="42" t="s">
        <v>119</v>
      </c>
      <c r="Z14" s="67" t="s">
        <v>69</v>
      </c>
      <c r="AA14" s="61">
        <f>SQRT((AA31-W4)^2+(V4-AA23)^2)</f>
        <v>0.06917015785333233</v>
      </c>
      <c r="AB14" s="61">
        <f>SQRT((AB31-W4)^2+(V4-AB23)^2)</f>
        <v>0.06917015785333233</v>
      </c>
      <c r="AC14" s="79"/>
      <c r="AD14" s="54"/>
      <c r="AE14" s="28"/>
      <c r="AF14" s="28"/>
      <c r="AG14" s="28"/>
    </row>
    <row r="15" spans="6:33" ht="12.75">
      <c r="F15" s="38"/>
      <c r="G15" s="38"/>
      <c r="H15" s="38"/>
      <c r="J15" s="35"/>
      <c r="K15" s="35"/>
      <c r="L15" s="35"/>
      <c r="N15" s="67"/>
      <c r="O15" s="37"/>
      <c r="P15" s="77"/>
      <c r="R15" s="28"/>
      <c r="S15" s="34"/>
      <c r="T15" s="35"/>
      <c r="V15" s="28" t="s">
        <v>70</v>
      </c>
      <c r="W15" s="44">
        <f>-J2*SQRT(W24*(1-W24)/C6+W30*(1-W30)/D6)</f>
        <v>-0.06885738384266026</v>
      </c>
      <c r="X15" s="43"/>
      <c r="Z15" s="67" t="s">
        <v>70</v>
      </c>
      <c r="AA15" s="61">
        <f>-SQRT((AA30-W4)^2+(V4-AA24)^2)</f>
        <v>-0.07124420408873876</v>
      </c>
      <c r="AB15" s="61">
        <f>-SQRT((AB30-W4)^2+(V4-AB24)^2)</f>
        <v>-0.07124420408873876</v>
      </c>
      <c r="AC15" s="69"/>
      <c r="AE15" s="28"/>
      <c r="AF15" s="28"/>
      <c r="AG15" s="28"/>
    </row>
    <row r="16" spans="6:33" ht="12.75">
      <c r="F16" s="28" t="s">
        <v>33</v>
      </c>
      <c r="G16" s="42">
        <f>(C4*D5-C5*D4)/SQRT(E4*E5*C6*D6)</f>
        <v>0.19245008972987526</v>
      </c>
      <c r="H16" s="38"/>
      <c r="J16" s="28" t="s">
        <v>103</v>
      </c>
      <c r="K16" s="99">
        <f>W75</f>
        <v>2.4999999999999996</v>
      </c>
      <c r="L16" s="28"/>
      <c r="N16" s="67" t="s">
        <v>33</v>
      </c>
      <c r="O16" s="61">
        <f>G16</f>
        <v>0.19245008972987526</v>
      </c>
      <c r="P16" s="77"/>
      <c r="R16" s="119" t="s">
        <v>144</v>
      </c>
      <c r="S16" s="42">
        <f>W96</f>
        <v>-0.5</v>
      </c>
      <c r="T16" s="35"/>
      <c r="V16" s="28" t="s">
        <v>71</v>
      </c>
      <c r="W16" s="49">
        <f>W4-V4</f>
        <v>-0.16666666666666666</v>
      </c>
      <c r="X16" s="45" t="str">
        <f>IF(W16&lt;W15,"s-",IF(W16&gt;W14,"s+","ns"))</f>
        <v>s-</v>
      </c>
      <c r="Z16" s="67" t="s">
        <v>98</v>
      </c>
      <c r="AA16" s="60">
        <f>W16</f>
        <v>-0.16666666666666666</v>
      </c>
      <c r="AB16" s="45" t="str">
        <f>IF(AA16&lt;AB15,"s-",IF(AA16&gt;AB14,"s+","ns"))</f>
        <v>s-</v>
      </c>
      <c r="AC16" s="69"/>
      <c r="AE16" s="28"/>
      <c r="AF16" s="28"/>
      <c r="AG16" s="28"/>
    </row>
    <row r="17" spans="6:33" ht="12.75">
      <c r="F17" s="110" t="s">
        <v>121</v>
      </c>
      <c r="G17" s="89">
        <f>W56</f>
        <v>0.1131555993750263</v>
      </c>
      <c r="H17" s="38"/>
      <c r="J17" s="28" t="s">
        <v>115</v>
      </c>
      <c r="K17" s="89">
        <f>W76</f>
        <v>1.6997641984015972</v>
      </c>
      <c r="L17" s="28"/>
      <c r="N17" s="111" t="s">
        <v>121</v>
      </c>
      <c r="O17" s="61">
        <f>AA56</f>
        <v>0.11025164354711338</v>
      </c>
      <c r="P17" s="77"/>
      <c r="R17" s="88" t="s">
        <v>142</v>
      </c>
      <c r="S17" s="42">
        <f>W97</f>
        <v>-0.6295978804323255</v>
      </c>
      <c r="T17" s="35"/>
      <c r="V17" s="28" t="s">
        <v>87</v>
      </c>
      <c r="W17" s="43">
        <f>W16-W14</f>
        <v>-0.23358824828739116</v>
      </c>
      <c r="X17" s="31" t="s">
        <v>145</v>
      </c>
      <c r="Z17" s="67" t="s">
        <v>87</v>
      </c>
      <c r="AA17" s="43">
        <f>AA16-AA14</f>
        <v>-0.235836824519999</v>
      </c>
      <c r="AB17" s="45"/>
      <c r="AC17" s="69"/>
      <c r="AE17" s="28"/>
      <c r="AF17" s="28"/>
      <c r="AG17" s="28"/>
    </row>
    <row r="18" spans="6:33" ht="12.75">
      <c r="F18" s="110" t="s">
        <v>122</v>
      </c>
      <c r="G18" s="89">
        <f>W57</f>
        <v>0.26733095954078184</v>
      </c>
      <c r="H18" s="32" t="str">
        <f>IF(G17&gt;0,"s+",IF(G18&lt;0,"s-","ns"))</f>
        <v>s+</v>
      </c>
      <c r="J18" s="28" t="s">
        <v>116</v>
      </c>
      <c r="K18" s="42">
        <f>W77</f>
        <v>3.676980610532506</v>
      </c>
      <c r="L18" s="35" t="str">
        <f>IF(K17&gt;1,"s+",IF(K18&lt;1,"s-","ns"))</f>
        <v>s+</v>
      </c>
      <c r="N18" s="111" t="s">
        <v>122</v>
      </c>
      <c r="O18" s="61">
        <f>AA57</f>
        <v>0.2700037567966091</v>
      </c>
      <c r="P18" s="77" t="str">
        <f>IF(O17&gt;0,"s+",IF(O18&lt;0,"s-","ns"))</f>
        <v>s+</v>
      </c>
      <c r="R18" s="88" t="s">
        <v>143</v>
      </c>
      <c r="S18" s="42">
        <f>W98</f>
        <v>-0.3277080924054758</v>
      </c>
      <c r="T18" s="35"/>
      <c r="V18" s="119" t="s">
        <v>86</v>
      </c>
      <c r="W18" s="43">
        <f>W16-W15</f>
        <v>-0.0978092828240064</v>
      </c>
      <c r="X18" s="45"/>
      <c r="Z18" s="120" t="s">
        <v>86</v>
      </c>
      <c r="AA18" s="43">
        <f>AA16-AA15</f>
        <v>-0.0954224625779279</v>
      </c>
      <c r="AB18" s="45"/>
      <c r="AC18" s="69"/>
      <c r="AE18" s="28"/>
      <c r="AF18" s="28"/>
      <c r="AG18" s="28"/>
    </row>
    <row r="19" spans="1:33" ht="12.75">
      <c r="A19" s="56" t="s">
        <v>51</v>
      </c>
      <c r="F19" s="38"/>
      <c r="G19" s="38"/>
      <c r="H19" s="38"/>
      <c r="J19" s="28"/>
      <c r="K19" s="28"/>
      <c r="L19" s="28"/>
      <c r="N19" s="67"/>
      <c r="O19" s="38"/>
      <c r="P19" s="68"/>
      <c r="R19" s="28"/>
      <c r="S19" s="28"/>
      <c r="T19" s="28"/>
      <c r="V19" s="28"/>
      <c r="W19" s="28"/>
      <c r="X19" s="28"/>
      <c r="Z19" s="67"/>
      <c r="AA19" s="38"/>
      <c r="AB19" s="38"/>
      <c r="AC19" s="68"/>
      <c r="AE19" s="28"/>
      <c r="AF19" s="28"/>
      <c r="AG19" s="28"/>
    </row>
    <row r="20" spans="1:33" ht="12.75">
      <c r="A20" s="13" t="s">
        <v>1</v>
      </c>
      <c r="B20" t="s">
        <v>9</v>
      </c>
      <c r="C20" s="5" t="str">
        <f>$C$3</f>
        <v>a</v>
      </c>
      <c r="D20" s="3"/>
      <c r="F20" s="29" t="s">
        <v>11</v>
      </c>
      <c r="G20" s="30" t="str">
        <f>$C$3</f>
        <v>a</v>
      </c>
      <c r="H20" s="28"/>
      <c r="J20" s="32" t="s">
        <v>26</v>
      </c>
      <c r="K20" s="30" t="str">
        <f>$C$3</f>
        <v>a</v>
      </c>
      <c r="L20" s="28"/>
      <c r="N20" s="74" t="s">
        <v>11</v>
      </c>
      <c r="O20" s="30" t="str">
        <f>$C$3</f>
        <v>a</v>
      </c>
      <c r="P20" s="68"/>
      <c r="R20" s="35" t="s">
        <v>13</v>
      </c>
      <c r="S20" s="30" t="str">
        <f>$C$3</f>
        <v>a</v>
      </c>
      <c r="T20" s="28"/>
      <c r="V20" s="28" t="s">
        <v>35</v>
      </c>
      <c r="W20" s="30" t="str">
        <f>$C$3</f>
        <v>a</v>
      </c>
      <c r="X20" s="28"/>
      <c r="Z20" s="67" t="s">
        <v>57</v>
      </c>
      <c r="AA20" s="30" t="str">
        <f>$C$3</f>
        <v>a</v>
      </c>
      <c r="AB20" s="38"/>
      <c r="AC20" s="68"/>
      <c r="AE20" s="28"/>
      <c r="AF20" s="35" t="s">
        <v>1</v>
      </c>
      <c r="AG20" s="28"/>
    </row>
    <row r="21" spans="1:33" ht="12.75">
      <c r="A21" s="3"/>
      <c r="B21" s="4" t="str">
        <f>$B$4</f>
        <v>b</v>
      </c>
      <c r="C21" s="24">
        <f>$E4*C$6/$E$6</f>
        <v>75</v>
      </c>
      <c r="E21" s="78"/>
      <c r="F21" s="28"/>
      <c r="G21" s="31">
        <f>(C4-C11)^2/C11</f>
        <v>8.333333333333334</v>
      </c>
      <c r="H21" s="28"/>
      <c r="J21" s="28" t="s">
        <v>27</v>
      </c>
      <c r="K21" s="31">
        <f>ABS(C21-C4)</f>
        <v>25</v>
      </c>
      <c r="L21" s="28"/>
      <c r="N21" s="67"/>
      <c r="O21" s="31">
        <f>(ABS(C4-C11)-0.5)^2/C11</f>
        <v>8.003333333333334</v>
      </c>
      <c r="P21" s="68"/>
      <c r="R21" s="28"/>
      <c r="S21" s="34">
        <f>IF(C4=0,0,2*C4*LN(C4/C11))</f>
        <v>57.53641449035617</v>
      </c>
      <c r="T21" s="28"/>
      <c r="V21" s="28" t="s">
        <v>39</v>
      </c>
      <c r="W21" s="43">
        <f>(V4+W11/2)/(1+W11)</f>
        <v>0.33544049520409097</v>
      </c>
      <c r="X21" s="28" t="s">
        <v>136</v>
      </c>
      <c r="Z21" s="67"/>
      <c r="AA21" s="38"/>
      <c r="AB21" s="38"/>
      <c r="AC21" s="68" t="s">
        <v>136</v>
      </c>
      <c r="AE21" s="28"/>
      <c r="AF21" s="28"/>
      <c r="AG21" s="28"/>
    </row>
    <row r="22" spans="1:33" ht="12.75">
      <c r="A22" s="3"/>
      <c r="B22" s="4" t="str">
        <f>$B$5</f>
        <v>¬b</v>
      </c>
      <c r="C22" s="25">
        <f>$E5*C$6/$E$6</f>
        <v>225</v>
      </c>
      <c r="F22" s="28"/>
      <c r="G22" s="31">
        <f>(C5-C12)^2/C12</f>
        <v>2.7777777777777777</v>
      </c>
      <c r="H22" s="28"/>
      <c r="J22" s="28" t="s">
        <v>28</v>
      </c>
      <c r="K22" s="55">
        <f>SQRT((X4*(1-X4))*C6)*1.95996</f>
        <v>14.6997</v>
      </c>
      <c r="L22" s="35" t="str">
        <f>IF((K21&gt;K22),"s","ns")</f>
        <v>s</v>
      </c>
      <c r="N22" s="67"/>
      <c r="O22" s="31">
        <f>(ABS(C5-C12)-0.5)^2/C12</f>
        <v>2.667777777777778</v>
      </c>
      <c r="P22" s="68"/>
      <c r="R22" s="28"/>
      <c r="S22" s="34">
        <f>IF(C5=0,0,2*C5*LN(C5/C12))</f>
        <v>-47.113214262553406</v>
      </c>
      <c r="T22" s="28"/>
      <c r="V22" s="28" t="s">
        <v>68</v>
      </c>
      <c r="W22" s="42">
        <f>$J$2*SQRT((V4*V5+W11/4)/C6)/(1+W11)</f>
        <v>0.053047047911828266</v>
      </c>
      <c r="X22" s="42">
        <f>V4-X4</f>
        <v>0.08333333333333331</v>
      </c>
      <c r="Z22" s="67"/>
      <c r="AA22" s="38"/>
      <c r="AB22" s="38"/>
      <c r="AC22" s="69">
        <f>V4-X4</f>
        <v>0.08333333333333331</v>
      </c>
      <c r="AE22" s="28"/>
      <c r="AF22" s="28"/>
      <c r="AG22" s="28"/>
    </row>
    <row r="23" spans="1:33" ht="12.75">
      <c r="A23" s="3"/>
      <c r="F23" s="32" t="s">
        <v>7</v>
      </c>
      <c r="G23" s="33">
        <f>SUM(G21:H22)</f>
        <v>11.11111111111111</v>
      </c>
      <c r="H23" s="28"/>
      <c r="J23" s="28" t="s">
        <v>29</v>
      </c>
      <c r="K23" s="37">
        <f>SQRT((X4*(1-X4))*C6)*2.57583</f>
        <v>19.318725</v>
      </c>
      <c r="L23" s="35" t="str">
        <f>IF((K21&gt;K23),"s","ns")</f>
        <v>s</v>
      </c>
      <c r="N23" s="70" t="s">
        <v>7</v>
      </c>
      <c r="O23" s="33">
        <f>SUM(O21:P22)</f>
        <v>10.671111111111111</v>
      </c>
      <c r="P23" s="68"/>
      <c r="R23" s="32" t="s">
        <v>7</v>
      </c>
      <c r="S23" s="33">
        <f>SUM(S21:T22)</f>
        <v>10.423200227802766</v>
      </c>
      <c r="T23" s="28"/>
      <c r="V23" s="32" t="s">
        <v>41</v>
      </c>
      <c r="W23" s="47">
        <f>W21+W22</f>
        <v>0.38848754311591926</v>
      </c>
      <c r="X23" s="42">
        <f>W23-X4</f>
        <v>0.13848754311591926</v>
      </c>
      <c r="Z23" s="70" t="s">
        <v>41</v>
      </c>
      <c r="AA23" s="47">
        <f>MAX(V4,MIN(AB23,1))</f>
        <v>0.39019813866940956</v>
      </c>
      <c r="AB23" s="61">
        <f>W21+($J$2*SQRT(AA11+AA12)+1)/AA10</f>
        <v>0.39019813866940956</v>
      </c>
      <c r="AC23" s="69">
        <f>AA23-X4</f>
        <v>0.14019813866940956</v>
      </c>
      <c r="AE23" s="28" t="s">
        <v>81</v>
      </c>
      <c r="AF23" s="42">
        <f>IF(X4&lt;V4,1-BINOMDIST(C4-1,C6,X4,TRUE),BINOMDIST(C4,C6,X4,TRUE))</f>
        <v>0.0007476168920783621</v>
      </c>
      <c r="AG23" s="42"/>
    </row>
    <row r="24" spans="1:33" ht="12.75">
      <c r="A24" s="27" t="s">
        <v>21</v>
      </c>
      <c r="F24" s="28" t="s">
        <v>12</v>
      </c>
      <c r="G24" s="34">
        <f>CHIDIST(G23,1)</f>
        <v>0.000858120666393674</v>
      </c>
      <c r="H24" s="35" t="str">
        <f>IF((G24&lt;H2),"s","ns")</f>
        <v>s</v>
      </c>
      <c r="J24" s="28"/>
      <c r="K24" s="34"/>
      <c r="L24" s="35"/>
      <c r="N24" s="67" t="s">
        <v>12</v>
      </c>
      <c r="O24" s="37">
        <f>CHIDIST(O23,1)</f>
        <v>0.0010882173049342834</v>
      </c>
      <c r="P24" s="77" t="str">
        <f>IF((O24&lt;$H$2),"s","ns")</f>
        <v>s</v>
      </c>
      <c r="R24" s="28" t="s">
        <v>12</v>
      </c>
      <c r="S24" s="34">
        <f>CHIDIST(S23,1)</f>
        <v>0.0012444206895429913</v>
      </c>
      <c r="T24" s="35" t="str">
        <f>IF((S24&lt;$H$2),"s","ns")</f>
        <v>s</v>
      </c>
      <c r="V24" s="35" t="s">
        <v>42</v>
      </c>
      <c r="W24" s="48">
        <f>W21-W22</f>
        <v>0.2823934472922627</v>
      </c>
      <c r="X24" s="42">
        <f>W24-X4</f>
        <v>0.03239344729226268</v>
      </c>
      <c r="Z24" s="70" t="s">
        <v>42</v>
      </c>
      <c r="AA24" s="48">
        <f>MIN(V4,MAX(AB24,0))</f>
        <v>0.2808135869737572</v>
      </c>
      <c r="AB24" s="61">
        <f>W21-($J$2*SQRT(AA11-AA12)+1)/AA10</f>
        <v>0.2808135869737572</v>
      </c>
      <c r="AC24" s="69">
        <f>AA24-X4</f>
        <v>0.03081358697375719</v>
      </c>
      <c r="AD24" s="62"/>
      <c r="AE24" s="28" t="s">
        <v>75</v>
      </c>
      <c r="AF24" s="28" t="str">
        <f>IF(AF23&lt;0.025,"s+",IF(AF23&gt;0.925,"s-","ns"))</f>
        <v>s+</v>
      </c>
      <c r="AG24" s="28"/>
    </row>
    <row r="25" spans="6:33" ht="12.75">
      <c r="F25" s="28" t="s">
        <v>135</v>
      </c>
      <c r="G25" s="42">
        <f>SQRT((G21*X4+G22*X5)/(2*C6))</f>
        <v>0.08333333333333333</v>
      </c>
      <c r="H25" s="28"/>
      <c r="J25" s="28"/>
      <c r="K25" s="34"/>
      <c r="L25" s="35"/>
      <c r="N25" s="67"/>
      <c r="O25" s="37"/>
      <c r="P25" s="77"/>
      <c r="R25" s="28"/>
      <c r="S25" s="34"/>
      <c r="T25" s="35"/>
      <c r="V25" s="28"/>
      <c r="W25" s="46" t="str">
        <f>IF($X4&gt;W23,"s+",IF($X4&lt;W24,"s-","ns"))</f>
        <v>s-</v>
      </c>
      <c r="X25" s="42"/>
      <c r="Z25" s="67"/>
      <c r="AA25" s="32" t="str">
        <f>IF($X4&gt;AB23,"s+",IF($X4&lt;AB24,"s-","ns"))</f>
        <v>s-</v>
      </c>
      <c r="AB25" s="38"/>
      <c r="AC25" s="68"/>
      <c r="AE25" s="28" t="s">
        <v>76</v>
      </c>
      <c r="AF25" s="28" t="str">
        <f>IF(AF23&lt;0.005,"s+",IF(AF23&gt;0.995,"s-","ns"))</f>
        <v>s+</v>
      </c>
      <c r="AG25" s="28"/>
    </row>
    <row r="26" spans="1:33" ht="12.75">
      <c r="A26" s="56"/>
      <c r="F26" s="28"/>
      <c r="G26" s="34"/>
      <c r="H26" s="28"/>
      <c r="J26" s="28"/>
      <c r="K26" s="34"/>
      <c r="L26" s="35"/>
      <c r="N26" s="67"/>
      <c r="O26" s="37"/>
      <c r="P26" s="77"/>
      <c r="R26" s="28"/>
      <c r="S26" s="34"/>
      <c r="T26" s="35"/>
      <c r="V26" s="28"/>
      <c r="W26" s="34"/>
      <c r="X26" s="42"/>
      <c r="Z26" s="67"/>
      <c r="AA26" s="38"/>
      <c r="AB26" s="38"/>
      <c r="AC26" s="68"/>
      <c r="AE26" s="28"/>
      <c r="AF26" s="28"/>
      <c r="AG26" s="28"/>
    </row>
    <row r="27" spans="1:33" ht="12.75">
      <c r="A27" s="13" t="s">
        <v>5</v>
      </c>
      <c r="B27" t="s">
        <v>9</v>
      </c>
      <c r="D27" s="5" t="str">
        <f>$D$3</f>
        <v>¬a</v>
      </c>
      <c r="F27" s="29" t="s">
        <v>11</v>
      </c>
      <c r="G27" s="30" t="str">
        <f>$D$3</f>
        <v>¬a</v>
      </c>
      <c r="H27" s="28"/>
      <c r="J27" s="32" t="s">
        <v>26</v>
      </c>
      <c r="K27" s="30" t="str">
        <f>$D$3</f>
        <v>¬a</v>
      </c>
      <c r="L27" s="28"/>
      <c r="N27" s="74" t="s">
        <v>11</v>
      </c>
      <c r="O27" s="30" t="str">
        <f>$D$3</f>
        <v>¬a</v>
      </c>
      <c r="P27" s="68"/>
      <c r="R27" s="35" t="s">
        <v>13</v>
      </c>
      <c r="S27" s="30" t="str">
        <f>$D$3</f>
        <v>¬a</v>
      </c>
      <c r="T27" s="28"/>
      <c r="V27" s="28" t="s">
        <v>35</v>
      </c>
      <c r="W27" s="30" t="str">
        <f>$D$3</f>
        <v>¬a</v>
      </c>
      <c r="X27" s="42"/>
      <c r="Z27" s="67"/>
      <c r="AA27" s="30" t="str">
        <f>$D$3</f>
        <v>¬a</v>
      </c>
      <c r="AB27" s="38"/>
      <c r="AC27" s="68"/>
      <c r="AE27" s="28"/>
      <c r="AF27" s="35" t="s">
        <v>5</v>
      </c>
      <c r="AG27" s="28"/>
    </row>
    <row r="28" spans="2:33" ht="12.75">
      <c r="B28" s="4" t="str">
        <f>$B$4</f>
        <v>b</v>
      </c>
      <c r="D28" s="24">
        <f>$E4*D$6/$E$6</f>
        <v>75</v>
      </c>
      <c r="F28" s="28"/>
      <c r="G28" s="31">
        <f>(D4-D11)^2/D11</f>
        <v>8.333333333333334</v>
      </c>
      <c r="H28" s="28"/>
      <c r="J28" s="28" t="s">
        <v>27</v>
      </c>
      <c r="K28" s="31">
        <f>ABS(D28-D4)</f>
        <v>25</v>
      </c>
      <c r="L28" s="28"/>
      <c r="N28" s="67"/>
      <c r="O28" s="31">
        <f>(ABS(D4-D11)-0.5)^2/D11</f>
        <v>8.003333333333334</v>
      </c>
      <c r="P28" s="68"/>
      <c r="R28" s="28"/>
      <c r="S28" s="34">
        <f>IF(D4=0,0,2*D4*LN(D4/D11))</f>
        <v>-40.54651081081644</v>
      </c>
      <c r="T28" s="28"/>
      <c r="V28" s="28" t="s">
        <v>39</v>
      </c>
      <c r="W28" s="43">
        <f>(W4+X11/2)/(1+X11)</f>
        <v>0.17088099040818197</v>
      </c>
      <c r="X28" s="42"/>
      <c r="Z28" s="67"/>
      <c r="AA28" s="38"/>
      <c r="AB28" s="38"/>
      <c r="AC28" s="68"/>
      <c r="AD28" s="54"/>
      <c r="AE28" s="28"/>
      <c r="AF28" s="28"/>
      <c r="AG28" s="28"/>
    </row>
    <row r="29" spans="2:33" ht="12.75">
      <c r="B29" s="4" t="str">
        <f>$B$5</f>
        <v>¬b</v>
      </c>
      <c r="D29" s="25">
        <f>$E5*D$6/$E$6</f>
        <v>225</v>
      </c>
      <c r="F29" s="28"/>
      <c r="G29" s="31">
        <f>(D5-D12)^2/D12</f>
        <v>2.7777777777777777</v>
      </c>
      <c r="H29" s="28"/>
      <c r="J29" s="28" t="s">
        <v>28</v>
      </c>
      <c r="K29" s="55">
        <f>SQRT((X4*(1-X4))*D6)*1.95996</f>
        <v>14.6997</v>
      </c>
      <c r="L29" s="35" t="str">
        <f>IF((K28&gt;K29),"s","ns")</f>
        <v>s</v>
      </c>
      <c r="N29" s="67"/>
      <c r="O29" s="31">
        <f>(ABS(D5-D12)-0.5)^2/D12</f>
        <v>2.667777777777778</v>
      </c>
      <c r="P29" s="68"/>
      <c r="R29" s="28"/>
      <c r="S29" s="34">
        <f>IF(D5=0,0,2*D5*LN(D5/D12))</f>
        <v>52.68025782891318</v>
      </c>
      <c r="T29" s="28"/>
      <c r="V29" s="28" t="s">
        <v>68</v>
      </c>
      <c r="W29" s="43">
        <f>$J$2*SQRT((W4*W5+X11/4)/D6)/(1+X11)</f>
        <v>0.04211565920450127</v>
      </c>
      <c r="X29" s="42">
        <f>W4-X4</f>
        <v>-0.08333333333333334</v>
      </c>
      <c r="Z29" s="67"/>
      <c r="AA29" s="38"/>
      <c r="AB29" s="38"/>
      <c r="AC29" s="69">
        <f>W4-X4</f>
        <v>-0.08333333333333334</v>
      </c>
      <c r="AD29" s="63"/>
      <c r="AE29" s="28"/>
      <c r="AF29" s="28"/>
      <c r="AG29" s="28"/>
    </row>
    <row r="30" spans="4:33" ht="12.75">
      <c r="D30" s="36"/>
      <c r="F30" s="32" t="s">
        <v>7</v>
      </c>
      <c r="G30" s="33">
        <f>SUM(G28:H29)</f>
        <v>11.11111111111111</v>
      </c>
      <c r="H30" s="28"/>
      <c r="J30" s="28" t="s">
        <v>29</v>
      </c>
      <c r="K30" s="55">
        <f>SQRT((X4*(1-X4))*D6)*2.57583</f>
        <v>19.318725</v>
      </c>
      <c r="L30" s="35" t="str">
        <f>IF((K28&gt;K30),"s","ns")</f>
        <v>s</v>
      </c>
      <c r="N30" s="70" t="s">
        <v>7</v>
      </c>
      <c r="O30" s="33">
        <f>SUM(O28:P29)</f>
        <v>10.671111111111111</v>
      </c>
      <c r="P30" s="68"/>
      <c r="R30" s="32" t="s">
        <v>7</v>
      </c>
      <c r="S30" s="33">
        <f>SUM(S28:T29)</f>
        <v>12.133747018096734</v>
      </c>
      <c r="T30" s="28"/>
      <c r="V30" s="32" t="s">
        <v>41</v>
      </c>
      <c r="W30" s="47">
        <f>W28+W29</f>
        <v>0.21299664961268325</v>
      </c>
      <c r="X30" s="42">
        <f>W30-X4</f>
        <v>-0.03700335038731675</v>
      </c>
      <c r="Z30" s="70" t="s">
        <v>41</v>
      </c>
      <c r="AA30" s="47">
        <f>MAX(W4,MIN(AB30,1))</f>
        <v>0.21480618119022257</v>
      </c>
      <c r="AB30" s="61">
        <f>W28+($J$2*SQRT(AB11+AB12)+1)/AB10</f>
        <v>0.21480618119022257</v>
      </c>
      <c r="AC30" s="69">
        <f>AA30-X4</f>
        <v>-0.03519381880977743</v>
      </c>
      <c r="AE30" s="28" t="s">
        <v>74</v>
      </c>
      <c r="AF30" s="42">
        <f>IF(X4&lt;W4,1-BINOMDIST(D4-1,D6,X4,TRUE),BINOMDIST(D4,D6,X4,TRUE))</f>
        <v>0.0003400544732288948</v>
      </c>
      <c r="AG30" s="42"/>
    </row>
    <row r="31" spans="1:33" ht="12.75">
      <c r="A31" s="27" t="s">
        <v>20</v>
      </c>
      <c r="F31" s="28" t="s">
        <v>12</v>
      </c>
      <c r="G31" s="34">
        <f>CHIDIST(G30,1)</f>
        <v>0.000858120666393674</v>
      </c>
      <c r="H31" s="35" t="str">
        <f>IF((G31&lt;H2),"s","ns")</f>
        <v>s</v>
      </c>
      <c r="J31" s="28"/>
      <c r="K31" s="34"/>
      <c r="L31" s="35"/>
      <c r="N31" s="67" t="s">
        <v>12</v>
      </c>
      <c r="O31" s="37">
        <f>CHIDIST(O30,1)</f>
        <v>0.0010882173049342834</v>
      </c>
      <c r="P31" s="77" t="str">
        <f>IF((O31&lt;$H$2),"s","ns")</f>
        <v>s</v>
      </c>
      <c r="R31" s="28" t="s">
        <v>12</v>
      </c>
      <c r="S31" s="34">
        <f>CHIDIST(S30,1)</f>
        <v>0.0004951752688328738</v>
      </c>
      <c r="T31" s="35" t="str">
        <f>IF((S31&lt;$H$2),"s","ns")</f>
        <v>s</v>
      </c>
      <c r="V31" s="35" t="s">
        <v>42</v>
      </c>
      <c r="W31" s="48">
        <f>W28-W29</f>
        <v>0.1287653312036807</v>
      </c>
      <c r="X31" s="42">
        <f>W31-X4</f>
        <v>-0.1212346687963193</v>
      </c>
      <c r="Z31" s="70" t="s">
        <v>42</v>
      </c>
      <c r="AA31" s="48">
        <f>MIN(W4,MAX(AB31,0))</f>
        <v>0.12728513988639736</v>
      </c>
      <c r="AB31" s="61">
        <f>W28-($J$2*SQRT(AB11-AB12)+1)/AB10</f>
        <v>0.12728513988639736</v>
      </c>
      <c r="AC31" s="69">
        <f>AA31-X4</f>
        <v>-0.12271486011360264</v>
      </c>
      <c r="AE31" s="28" t="s">
        <v>75</v>
      </c>
      <c r="AF31" s="28" t="str">
        <f>IF(AF30&lt;0.025,"s+",IF(AF30&gt;0.925,"s-","ns"))</f>
        <v>s+</v>
      </c>
      <c r="AG31" s="28"/>
    </row>
    <row r="32" spans="1:33" ht="12.75">
      <c r="A32" s="27"/>
      <c r="F32" s="28" t="s">
        <v>135</v>
      </c>
      <c r="G32" s="42">
        <f>SQRT((G28*X4+G29*X5)/(2*D6))</f>
        <v>0.08333333333333333</v>
      </c>
      <c r="H32" s="28"/>
      <c r="J32" s="28"/>
      <c r="K32" s="34"/>
      <c r="L32" s="35"/>
      <c r="N32" s="67"/>
      <c r="O32" s="37"/>
      <c r="P32" s="77"/>
      <c r="R32" s="28"/>
      <c r="S32" s="34"/>
      <c r="T32" s="35"/>
      <c r="V32" s="28"/>
      <c r="W32" s="46" t="str">
        <f>IF($X4&gt;W30,"s+",IF($X4&lt;W31,"s-","ns"))</f>
        <v>s+</v>
      </c>
      <c r="X32" s="42"/>
      <c r="Z32" s="67"/>
      <c r="AA32" s="32" t="str">
        <f>IF($X4&gt;AB30,"s+",IF($X4&lt;AB31,"s-","ns"))</f>
        <v>s+</v>
      </c>
      <c r="AB32" s="38"/>
      <c r="AC32" s="68"/>
      <c r="AE32" s="28" t="s">
        <v>76</v>
      </c>
      <c r="AF32" s="28" t="str">
        <f>IF(AF30&lt;0.005,"s+",IF(AF30&gt;0.995,"s-","ns"))</f>
        <v>s+</v>
      </c>
      <c r="AG32" s="28"/>
    </row>
    <row r="33" spans="6:33" ht="12.75">
      <c r="F33" s="28"/>
      <c r="G33" s="28"/>
      <c r="H33" s="28"/>
      <c r="J33" s="28"/>
      <c r="K33" s="28"/>
      <c r="L33" s="28"/>
      <c r="N33" s="67"/>
      <c r="O33" s="38"/>
      <c r="P33" s="68"/>
      <c r="R33" s="28"/>
      <c r="S33" s="28"/>
      <c r="T33" s="28"/>
      <c r="V33" s="28"/>
      <c r="W33" s="28"/>
      <c r="X33" s="28"/>
      <c r="Z33" s="67"/>
      <c r="AA33" s="38"/>
      <c r="AB33" s="38"/>
      <c r="AC33" s="68"/>
      <c r="AE33" s="28"/>
      <c r="AF33" s="28"/>
      <c r="AG33" s="28"/>
    </row>
    <row r="34" spans="6:33" ht="12.75">
      <c r="F34" s="28" t="s">
        <v>24</v>
      </c>
      <c r="G34" s="28"/>
      <c r="H34" s="28"/>
      <c r="J34" s="28" t="s">
        <v>37</v>
      </c>
      <c r="K34" s="28"/>
      <c r="L34" s="28"/>
      <c r="N34" s="71" t="s">
        <v>64</v>
      </c>
      <c r="O34" s="72"/>
      <c r="P34" s="73"/>
      <c r="R34" s="28" t="s">
        <v>32</v>
      </c>
      <c r="S34" s="28"/>
      <c r="T34" s="28"/>
      <c r="V34" s="28" t="s">
        <v>65</v>
      </c>
      <c r="W34" s="28"/>
      <c r="X34" s="28"/>
      <c r="Z34" s="71" t="s">
        <v>64</v>
      </c>
      <c r="AA34" s="72"/>
      <c r="AB34" s="72"/>
      <c r="AC34" s="73"/>
      <c r="AE34" s="87" t="s">
        <v>78</v>
      </c>
      <c r="AF34" s="28"/>
      <c r="AG34" s="28"/>
    </row>
    <row r="35" spans="6:8" ht="12.75">
      <c r="F35" s="104"/>
      <c r="G35" s="104"/>
      <c r="H35" s="104"/>
    </row>
    <row r="36" spans="6:31" ht="12.75">
      <c r="F36" s="106"/>
      <c r="G36" s="107"/>
      <c r="H36" s="108"/>
      <c r="V36" t="s">
        <v>99</v>
      </c>
      <c r="W36" s="54"/>
      <c r="Z36" t="s">
        <v>102</v>
      </c>
      <c r="AA36" s="54"/>
      <c r="AE36" t="s">
        <v>90</v>
      </c>
    </row>
    <row r="37" spans="6:32" ht="12.75">
      <c r="F37" s="106"/>
      <c r="G37" s="109"/>
      <c r="H37" s="109"/>
      <c r="V37" t="s">
        <v>98</v>
      </c>
      <c r="W37" s="54">
        <f>W16</f>
        <v>-0.16666666666666666</v>
      </c>
      <c r="Z37" t="s">
        <v>98</v>
      </c>
      <c r="AA37" s="54">
        <f>AA16</f>
        <v>-0.16666666666666666</v>
      </c>
      <c r="AE37" t="s">
        <v>88</v>
      </c>
      <c r="AF37" t="s">
        <v>89</v>
      </c>
    </row>
    <row r="38" spans="2:32" ht="15">
      <c r="B38" s="1" t="s">
        <v>17</v>
      </c>
      <c r="F38" s="104"/>
      <c r="G38" s="104"/>
      <c r="H38" s="104"/>
      <c r="V38" t="s">
        <v>87</v>
      </c>
      <c r="W38" s="54">
        <f>W37-W14</f>
        <v>-0.23358824828739116</v>
      </c>
      <c r="Z38" t="s">
        <v>87</v>
      </c>
      <c r="AA38" s="54">
        <f>AA37-AA14</f>
        <v>-0.235836824519999</v>
      </c>
      <c r="AD38" t="s">
        <v>100</v>
      </c>
      <c r="AE38" s="54">
        <f>ABS(W15)</f>
        <v>0.06885738384266026</v>
      </c>
      <c r="AF38" s="54">
        <f>ABS(AA15)</f>
        <v>0.07124420408873876</v>
      </c>
    </row>
    <row r="39" spans="2:32" ht="12.75">
      <c r="B39" s="11" t="s">
        <v>16</v>
      </c>
      <c r="V39" t="s">
        <v>86</v>
      </c>
      <c r="W39" s="54">
        <f>W37-W15</f>
        <v>-0.0978092828240064</v>
      </c>
      <c r="Z39" t="s">
        <v>86</v>
      </c>
      <c r="AA39" s="54">
        <f>AA37-AA15</f>
        <v>-0.0954224625779279</v>
      </c>
      <c r="AD39" t="s">
        <v>101</v>
      </c>
      <c r="AE39" s="54">
        <f>ABS(W14)</f>
        <v>0.06692158162072452</v>
      </c>
      <c r="AF39" s="54">
        <f>ABS(AA14)</f>
        <v>0.06917015785333233</v>
      </c>
    </row>
    <row r="41" spans="2:26" ht="12.75">
      <c r="B41" t="s">
        <v>25</v>
      </c>
      <c r="V41" s="105" t="s">
        <v>125</v>
      </c>
      <c r="Z41" t="s">
        <v>114</v>
      </c>
    </row>
    <row r="42" ht="12.75">
      <c r="B42" t="s">
        <v>83</v>
      </c>
    </row>
    <row r="43" spans="22:28" ht="12.75">
      <c r="V43" t="s">
        <v>124</v>
      </c>
      <c r="W43" s="13" t="s">
        <v>2</v>
      </c>
      <c r="X43" s="103" t="s">
        <v>6</v>
      </c>
      <c r="AA43" s="54" t="str">
        <f>W43</f>
        <v>b</v>
      </c>
      <c r="AB43" s="54" t="str">
        <f>X43</f>
        <v>¬b</v>
      </c>
    </row>
    <row r="44" spans="2:28" ht="12.75">
      <c r="B44" t="s">
        <v>61</v>
      </c>
      <c r="V44" t="s">
        <v>120</v>
      </c>
      <c r="W44" s="54">
        <f>C4/E4</f>
        <v>0.6666666666666666</v>
      </c>
      <c r="X44" s="54">
        <f>C5/E5</f>
        <v>0.4444444444444444</v>
      </c>
      <c r="AA44" s="54">
        <f>W44</f>
        <v>0.6666666666666666</v>
      </c>
      <c r="AB44" s="54">
        <f>X44</f>
        <v>0.4444444444444444</v>
      </c>
    </row>
    <row r="45" spans="22:28" ht="12.75">
      <c r="V45" t="s">
        <v>118</v>
      </c>
      <c r="W45" s="54">
        <f>$J$2*$J$2/E4</f>
        <v>0.025609725471294156</v>
      </c>
      <c r="X45" s="54">
        <f>$J$2*$J$2/E5</f>
        <v>0.008536575157098053</v>
      </c>
      <c r="Z45" t="str">
        <f>Z10</f>
        <v>2(n+z²)</v>
      </c>
      <c r="AA45">
        <f>2*(E4+$J$2*$J$2)</f>
        <v>307.68291764138826</v>
      </c>
      <c r="AB45">
        <f>2*(E5+$J$2*$J$2)</f>
        <v>907.6829176413883</v>
      </c>
    </row>
    <row r="46" spans="2:28" ht="12.75">
      <c r="B46" t="s">
        <v>63</v>
      </c>
      <c r="V46" t="s">
        <v>39</v>
      </c>
      <c r="W46" s="54">
        <f>(W44+W45/2)/(1+W45)</f>
        <v>0.6625049592719872</v>
      </c>
      <c r="X46" s="54">
        <f>(X44+X45/2)/(1+X45)</f>
        <v>0.4449146843812761</v>
      </c>
      <c r="Z46" t="str">
        <f>Z11</f>
        <v>z²-1/n+4npq</v>
      </c>
      <c r="AA46">
        <f>$J$2*$J$2-1/E4+4*E4*AA44*(1-AA44)</f>
        <v>137.1681254873608</v>
      </c>
      <c r="AB46">
        <f>$J$2*$J$2-1/E5+4*E5*AB44*(1-AB44)</f>
        <v>448.2836810429164</v>
      </c>
    </row>
    <row r="47" spans="2:28" ht="12.75">
      <c r="B47" t="s">
        <v>47</v>
      </c>
      <c r="C47" t="s">
        <v>128</v>
      </c>
      <c r="V47" t="s">
        <v>68</v>
      </c>
      <c r="W47" s="54">
        <f>$J$2*SQRT((W44*(1-W44)+W45/4)/E4)/(1+W45)</f>
        <v>0.07460739240413672</v>
      </c>
      <c r="X47" s="54">
        <f>$J$2*SQRT((X44*(1-X44)+X45/4)/E5)/(1+X45)</f>
        <v>0.04571844704717957</v>
      </c>
      <c r="Z47" t="str">
        <f>Z12</f>
        <v>2-4p</v>
      </c>
      <c r="AA47">
        <f>2-4*AA44</f>
        <v>-0.6666666666666665</v>
      </c>
      <c r="AB47">
        <f>2-4*AB44</f>
        <v>0.22222222222222232</v>
      </c>
    </row>
    <row r="48" spans="3:28" ht="12.75">
      <c r="C48" t="s">
        <v>133</v>
      </c>
      <c r="V48" t="s">
        <v>109</v>
      </c>
      <c r="W48" s="54">
        <f>W46-W47</f>
        <v>0.5878975668678504</v>
      </c>
      <c r="X48" s="54">
        <f>X46-X47</f>
        <v>0.39919623733409654</v>
      </c>
      <c r="Z48" t="s">
        <v>109</v>
      </c>
      <c r="AA48" s="54">
        <f>MAX(0,MIN(W46,W46-($J$2*SQRT(AA46-AA47)+1)/AA45))</f>
        <v>0.5844682008100726</v>
      </c>
      <c r="AB48" s="54">
        <f>MAX(0,MIN(X46,X46-($J$2*SQRT(AB46-AB47)+1)/AB45))</f>
        <v>0.39810597744026543</v>
      </c>
    </row>
    <row r="49" spans="3:28" ht="12.75">
      <c r="C49" t="s">
        <v>129</v>
      </c>
      <c r="V49" t="s">
        <v>110</v>
      </c>
      <c r="W49" s="54">
        <f>W46+W47</f>
        <v>0.7371123516761239</v>
      </c>
      <c r="X49" s="54">
        <f>X46+X47</f>
        <v>0.4906331314284557</v>
      </c>
      <c r="Z49" t="s">
        <v>110</v>
      </c>
      <c r="AA49" s="54">
        <f>MIN(1,MAX(W46,W46+($J$2*SQRT(AA46+AA47)+1)/AA45))</f>
        <v>0.740179117460424</v>
      </c>
      <c r="AB49" s="54">
        <f>MIN(1,MAX(X46,X46+($J$2*SQRT(AB46+AB47)+1)/AB45))</f>
        <v>0.49174605471705124</v>
      </c>
    </row>
    <row r="50" spans="3:28" ht="12.75">
      <c r="C50" t="s">
        <v>138</v>
      </c>
      <c r="V50" t="s">
        <v>119</v>
      </c>
      <c r="W50" s="54">
        <f>-SQRT((W48-W44)^2+(X49-X44)^2)</f>
        <v>-0.09131246294139064</v>
      </c>
      <c r="X50" s="54">
        <f>SQRT((X48-X44)^2+(W49-W44)^2)</f>
        <v>0.08372571160135102</v>
      </c>
      <c r="AA50" s="54">
        <f>-SQRT((AA48-AA44)^2+(AB49-AB44)^2)</f>
        <v>-0.09483686057414198</v>
      </c>
      <c r="AB50" s="54">
        <f>SQRT((AB48-AB44)^2+(AA49-AA44)^2)</f>
        <v>0.0868984116425725</v>
      </c>
    </row>
    <row r="51" spans="3:24" ht="12.75">
      <c r="C51" t="s">
        <v>46</v>
      </c>
      <c r="W51" s="54"/>
      <c r="X51" s="54"/>
    </row>
    <row r="52" spans="2:27" ht="12.75">
      <c r="B52" t="s">
        <v>49</v>
      </c>
      <c r="C52" t="s">
        <v>62</v>
      </c>
      <c r="V52" t="s">
        <v>117</v>
      </c>
      <c r="W52" s="54">
        <f>X44-W44</f>
        <v>-0.2222222222222222</v>
      </c>
      <c r="X52" s="54"/>
      <c r="AA52" s="54">
        <f>AB44-AA44</f>
        <v>-0.2222222222222222</v>
      </c>
    </row>
    <row r="53" spans="2:27" ht="12.75">
      <c r="B53" t="s">
        <v>50</v>
      </c>
      <c r="C53" t="s">
        <v>130</v>
      </c>
      <c r="V53" t="s">
        <v>87</v>
      </c>
      <c r="W53" s="54">
        <f>W52-X50</f>
        <v>-0.3059479338235732</v>
      </c>
      <c r="X53" s="54"/>
      <c r="AA53" s="54">
        <f>AA52-AB50</f>
        <v>-0.3091206338647947</v>
      </c>
    </row>
    <row r="54" spans="22:27" ht="12.75">
      <c r="V54" t="s">
        <v>86</v>
      </c>
      <c r="W54" s="54">
        <f>W52-W50</f>
        <v>-0.13090975928083157</v>
      </c>
      <c r="X54" s="54"/>
      <c r="AA54" s="54">
        <f>AA52-AA50</f>
        <v>-0.12738536164808023</v>
      </c>
    </row>
    <row r="55" spans="2:27" ht="12.75">
      <c r="B55" t="s">
        <v>131</v>
      </c>
      <c r="W55" s="54"/>
      <c r="X55" s="54"/>
      <c r="AA55" s="54"/>
    </row>
    <row r="56" spans="2:27" ht="12.75">
      <c r="B56" t="s">
        <v>48</v>
      </c>
      <c r="C56" t="s">
        <v>146</v>
      </c>
      <c r="V56" s="100" t="s">
        <v>121</v>
      </c>
      <c r="W56" s="54">
        <f>IF(SIGN(W39)=SIGN(W54),-SIGN(W39)*SQRT(W39*W54),-(W39+W54)/2)</f>
        <v>0.1131555993750263</v>
      </c>
      <c r="X56" s="54"/>
      <c r="AA56" s="54">
        <f>IF(SIGN(AA39)=SIGN(AA54),-SIGN(AA39)*SQRT(AA39*AA54),-(AA39+AA54)/2)</f>
        <v>0.11025164354711338</v>
      </c>
    </row>
    <row r="57" spans="2:27" ht="12.75">
      <c r="B57" t="s">
        <v>55</v>
      </c>
      <c r="C57" t="s">
        <v>132</v>
      </c>
      <c r="V57" s="100" t="s">
        <v>122</v>
      </c>
      <c r="W57" s="54">
        <f>IF(SIGN(W38)=SIGN(W53),-SIGN(W38)*SQRT(W53*W38),-(W38+W53)/2)</f>
        <v>0.26733095954078184</v>
      </c>
      <c r="X57" s="54"/>
      <c r="AA57" s="54">
        <f>IF(SIGN(AA38)=SIGN(AA53),-SIGN(AA38)*SQRT(AA53*AA38),-(AA38+AA53)/2)</f>
        <v>0.2700037567966091</v>
      </c>
    </row>
    <row r="58" spans="2:3" ht="12.75">
      <c r="B58" t="s">
        <v>79</v>
      </c>
      <c r="C58" t="s">
        <v>82</v>
      </c>
    </row>
    <row r="59" spans="22:27" ht="12.75">
      <c r="V59" t="s">
        <v>36</v>
      </c>
      <c r="W59" s="54">
        <f>IF(V4=0,$AA$59,IF(V4=1,1-$AA$59,V4))</f>
        <v>0.3333333333333333</v>
      </c>
      <c r="X59" s="54">
        <f>IF(W4=0,$AA$59,IF(W4=1,1-$AA$59,W4))</f>
        <v>0.16666666666666666</v>
      </c>
      <c r="Z59" t="s">
        <v>134</v>
      </c>
      <c r="AA59">
        <v>1E-10</v>
      </c>
    </row>
    <row r="60" spans="2:28" ht="12.75">
      <c r="B60" t="s">
        <v>97</v>
      </c>
      <c r="V60" t="s">
        <v>109</v>
      </c>
      <c r="W60" s="54">
        <f>IF(W24=0,$AA$59,IF(W24=1,1-$AA$59,W24))</f>
        <v>0.2823934472922627</v>
      </c>
      <c r="X60" s="54">
        <f>IF(W31=0,$AA$59,IF(W31=1,1-$AA$59,W31))</f>
        <v>0.1287653312036807</v>
      </c>
      <c r="AA60" s="54">
        <f>IF(AA24=0,$AA$59,IF(AA24=1,1-$AA$59,AA24))</f>
        <v>0.2808135869737572</v>
      </c>
      <c r="AB60" s="54">
        <f>IF(AA31=0,$AA$59,IF(AA31=1,1-$AA$59,AA31))</f>
        <v>0.12728513988639736</v>
      </c>
    </row>
    <row r="61" spans="22:28" ht="12.75">
      <c r="V61" s="113" t="s">
        <v>110</v>
      </c>
      <c r="W61" s="54">
        <f>IF(W23=0,$AA$59,IF(W23=1,1-$AA$59,W23))</f>
        <v>0.38848754311591926</v>
      </c>
      <c r="X61" s="54">
        <f>IF(W30=0,$AA$59,IF(W30=1,1-$AA$59,W30))</f>
        <v>0.21299664961268325</v>
      </c>
      <c r="AA61" s="54">
        <f>IF(AA23=0,$AA$59,IF(AA23=1,1-$AA$59,AA23))</f>
        <v>0.39019813866940956</v>
      </c>
      <c r="AB61" s="54">
        <f>IF(AA30=0,$AA$59,IF(AA30=1,1-$AA$59,AA30))</f>
        <v>0.21480618119022257</v>
      </c>
    </row>
    <row r="62" spans="2:12" ht="12.75">
      <c r="B62" t="s">
        <v>66</v>
      </c>
      <c r="C62" t="s">
        <v>93</v>
      </c>
      <c r="L62" t="s">
        <v>96</v>
      </c>
    </row>
    <row r="63" spans="3:28" ht="12.75">
      <c r="C63" t="s">
        <v>94</v>
      </c>
      <c r="L63" t="s">
        <v>95</v>
      </c>
      <c r="V63" s="11" t="s">
        <v>104</v>
      </c>
      <c r="W63" s="11" t="s">
        <v>106</v>
      </c>
      <c r="X63" s="11" t="s">
        <v>107</v>
      </c>
      <c r="Z63" t="s">
        <v>114</v>
      </c>
      <c r="AA63" t="str">
        <f>W63</f>
        <v>p1</v>
      </c>
      <c r="AB63" t="str">
        <f>X63</f>
        <v>p2</v>
      </c>
    </row>
    <row r="64" spans="3:28" ht="12.75">
      <c r="C64" t="s">
        <v>92</v>
      </c>
      <c r="L64" t="s">
        <v>91</v>
      </c>
      <c r="V64" s="11"/>
      <c r="W64" s="11">
        <f aca="true" t="shared" si="0" ref="W64:X66">W59/(1-W59)</f>
        <v>0.4999999999999999</v>
      </c>
      <c r="X64" s="11">
        <f t="shared" si="0"/>
        <v>0.19999999999999998</v>
      </c>
      <c r="AA64">
        <f>W64</f>
        <v>0.4999999999999999</v>
      </c>
      <c r="AB64">
        <f>X64</f>
        <v>0.19999999999999998</v>
      </c>
    </row>
    <row r="65" spans="3:28" ht="12.75">
      <c r="C65" t="s">
        <v>127</v>
      </c>
      <c r="L65" t="s">
        <v>126</v>
      </c>
      <c r="V65" t="s">
        <v>109</v>
      </c>
      <c r="W65" s="54">
        <f t="shared" si="0"/>
        <v>0.3935212774001442</v>
      </c>
      <c r="X65" s="54">
        <f t="shared" si="0"/>
        <v>0.14779638117658972</v>
      </c>
      <c r="Y65" s="54"/>
      <c r="Z65" s="112">
        <f>X65</f>
        <v>0.14779638117658972</v>
      </c>
      <c r="AA65" s="54">
        <f>AA60/(1-AA60)</f>
        <v>0.3904600836271783</v>
      </c>
      <c r="AB65" s="54">
        <f>AB60/(1-AB60)</f>
        <v>0.1458496305079857</v>
      </c>
    </row>
    <row r="66" spans="22:28" ht="12.75">
      <c r="V66" t="s">
        <v>110</v>
      </c>
      <c r="W66" s="54">
        <f t="shared" si="0"/>
        <v>0.6352896637550616</v>
      </c>
      <c r="X66" s="54">
        <f t="shared" si="0"/>
        <v>0.27064262116274196</v>
      </c>
      <c r="Y66" s="54"/>
      <c r="Z66" s="54"/>
      <c r="AA66" s="54">
        <f>AA61/(1-AA61)</f>
        <v>0.6398769230024904</v>
      </c>
      <c r="AB66" s="54">
        <f>AB61/(1-AB61)</f>
        <v>0.27357090191544403</v>
      </c>
    </row>
    <row r="67" spans="23:27" ht="12.75">
      <c r="W67" s="54"/>
      <c r="X67" s="54"/>
      <c r="Y67" s="54"/>
      <c r="Z67" s="54"/>
      <c r="AA67" s="54"/>
    </row>
    <row r="68" spans="22:28" ht="12.75">
      <c r="V68" s="92" t="s">
        <v>105</v>
      </c>
      <c r="W68" s="93">
        <f aca="true" t="shared" si="1" ref="W68:X70">LN(W64)</f>
        <v>-0.6931471805599455</v>
      </c>
      <c r="X68" s="93">
        <f>LN(X64)</f>
        <v>-1.6094379124341005</v>
      </c>
      <c r="Y68" s="93"/>
      <c r="Z68" s="93"/>
      <c r="AA68" s="93">
        <f aca="true" t="shared" si="2" ref="AA68:AB70">LN(AA64)</f>
        <v>-0.6931471805599455</v>
      </c>
      <c r="AB68" s="92">
        <f t="shared" si="2"/>
        <v>-1.6094379124341005</v>
      </c>
    </row>
    <row r="69" spans="22:28" ht="12.75">
      <c r="V69" s="94" t="s">
        <v>109</v>
      </c>
      <c r="W69" s="93">
        <f t="shared" si="1"/>
        <v>-0.9326201404133518</v>
      </c>
      <c r="X69" s="93">
        <f>LN(X65)</f>
        <v>-1.9119197553646101</v>
      </c>
      <c r="Y69" s="95"/>
      <c r="Z69" s="95"/>
      <c r="AA69" s="93">
        <f t="shared" si="2"/>
        <v>-0.9404295335514593</v>
      </c>
      <c r="AB69" s="93">
        <f t="shared" si="2"/>
        <v>-1.9251791160416143</v>
      </c>
    </row>
    <row r="70" spans="22:29" ht="12.75">
      <c r="V70" s="95" t="s">
        <v>110</v>
      </c>
      <c r="W70" s="93">
        <f t="shared" si="1"/>
        <v>-0.4536742207065391</v>
      </c>
      <c r="X70" s="93">
        <f t="shared" si="1"/>
        <v>-1.3069560695035911</v>
      </c>
      <c r="Y70" s="95"/>
      <c r="Z70" s="95"/>
      <c r="AA70" s="93">
        <f t="shared" si="2"/>
        <v>-0.4464794289305458</v>
      </c>
      <c r="AB70" s="93">
        <f t="shared" si="2"/>
        <v>-1.2961944515378165</v>
      </c>
      <c r="AC70" s="54"/>
    </row>
    <row r="71" spans="22:28" ht="12.75">
      <c r="V71" s="95" t="s">
        <v>111</v>
      </c>
      <c r="W71" s="95">
        <f>SQRT((W68-W69)^2+(X68-X70)^2)</f>
        <v>0.3858011972552554</v>
      </c>
      <c r="X71" s="95">
        <f>SQRT((W68-W70)^2+(X68-X69)^2)</f>
        <v>0.38580119725525563</v>
      </c>
      <c r="Y71" s="95"/>
      <c r="Z71" s="95"/>
      <c r="AA71" s="95">
        <f>SQRT((AA68-AA69)^2+(AB68-AB70)^2)</f>
        <v>0.39908649174746746</v>
      </c>
      <c r="AB71" s="95">
        <f>SQRT((AA68-AA70)^2+(AB68-AB69)^2)</f>
        <v>0.4006712958890675</v>
      </c>
    </row>
    <row r="72" spans="22:28" ht="12.75">
      <c r="V72" s="95" t="s">
        <v>112</v>
      </c>
      <c r="W72" s="96">
        <f>W68-X68-W71</f>
        <v>0.5304895346188996</v>
      </c>
      <c r="X72" s="96"/>
      <c r="Y72" s="96"/>
      <c r="Z72" s="96"/>
      <c r="AA72" s="96">
        <f>AA68-AB68-AA71</f>
        <v>0.5172042401266875</v>
      </c>
      <c r="AB72" s="95"/>
    </row>
    <row r="73" spans="22:28" ht="12.75">
      <c r="V73" s="95" t="s">
        <v>113</v>
      </c>
      <c r="W73" s="96">
        <f>W68-X68+X71</f>
        <v>1.3020919291294106</v>
      </c>
      <c r="X73" s="96"/>
      <c r="Y73" s="96"/>
      <c r="Z73" s="96"/>
      <c r="AA73" s="96">
        <f>AA68-AB68+AB71</f>
        <v>1.3169620277632226</v>
      </c>
      <c r="AB73" s="95"/>
    </row>
    <row r="74" spans="23:27" ht="12.75">
      <c r="W74" s="54"/>
      <c r="X74" s="54"/>
      <c r="Y74" s="54"/>
      <c r="Z74" s="54"/>
      <c r="AA74" s="54"/>
    </row>
    <row r="75" spans="22:28" ht="12.75">
      <c r="V75" s="11" t="s">
        <v>108</v>
      </c>
      <c r="W75" s="90">
        <f>W64/X64</f>
        <v>2.4999999999999996</v>
      </c>
      <c r="X75" s="54"/>
      <c r="Y75" s="54"/>
      <c r="Z75" s="90"/>
      <c r="AA75" s="90">
        <f>AA64/AB64</f>
        <v>2.4999999999999996</v>
      </c>
      <c r="AB75" s="54"/>
    </row>
    <row r="76" spans="22:28" ht="12.75">
      <c r="V76" t="s">
        <v>115</v>
      </c>
      <c r="W76" s="97">
        <f>EXP(W72)</f>
        <v>1.6997641984015972</v>
      </c>
      <c r="X76" s="97"/>
      <c r="Y76" s="97"/>
      <c r="Z76" s="97"/>
      <c r="AA76" s="97">
        <f>EXP(AA72)</f>
        <v>1.6773316717621503</v>
      </c>
      <c r="AB76" s="98"/>
    </row>
    <row r="77" spans="22:27" ht="12.75">
      <c r="V77" t="s">
        <v>116</v>
      </c>
      <c r="W77" s="91">
        <f>EXP(W73)</f>
        <v>3.676980610532506</v>
      </c>
      <c r="X77" s="54"/>
      <c r="Y77" s="54"/>
      <c r="Z77" s="54"/>
      <c r="AA77" s="91">
        <f>EXP(AA73)</f>
        <v>3.7320662240995275</v>
      </c>
    </row>
    <row r="78" spans="23:27" ht="12.75">
      <c r="W78" t="str">
        <f>IF(OR(W76&gt;1,W77&lt;1),"s","ns")</f>
        <v>s</v>
      </c>
      <c r="AA78" t="str">
        <f>IF(OR(AA76&gt;1,AA77&lt;1),"s","ns")</f>
        <v>s</v>
      </c>
    </row>
    <row r="80" spans="22:29" ht="12.75">
      <c r="V80" t="s">
        <v>141</v>
      </c>
      <c r="W80" s="41">
        <f>V4</f>
        <v>0.3333333333333333</v>
      </c>
      <c r="X80" s="41">
        <f>W4</f>
        <v>0.16666666666666666</v>
      </c>
      <c r="Z80" s="114"/>
      <c r="AA80" s="115"/>
      <c r="AB80" s="115"/>
      <c r="AC80" s="114"/>
    </row>
    <row r="81" spans="22:29" ht="12.75">
      <c r="V81" t="s">
        <v>109</v>
      </c>
      <c r="W81" s="54">
        <f>W24</f>
        <v>0.2823934472922627</v>
      </c>
      <c r="X81" s="54">
        <f>W31</f>
        <v>0.1287653312036807</v>
      </c>
      <c r="Z81" s="114"/>
      <c r="AA81" s="115"/>
      <c r="AB81" s="115"/>
      <c r="AC81" s="114"/>
    </row>
    <row r="82" spans="22:29" ht="12.75">
      <c r="V82" t="s">
        <v>110</v>
      </c>
      <c r="W82" s="54">
        <f>W23</f>
        <v>0.38848754311591926</v>
      </c>
      <c r="X82" s="54">
        <f>W30</f>
        <v>0.21299664961268325</v>
      </c>
      <c r="Z82" s="114"/>
      <c r="AA82" s="115"/>
      <c r="AB82" s="115"/>
      <c r="AC82" s="114"/>
    </row>
    <row r="83" spans="26:29" ht="12.75">
      <c r="Z83" s="114"/>
      <c r="AA83" s="114"/>
      <c r="AB83" s="114"/>
      <c r="AC83" s="114"/>
    </row>
    <row r="84" spans="22:29" ht="12.75">
      <c r="V84" s="92" t="s">
        <v>105</v>
      </c>
      <c r="W84" s="93">
        <f aca="true" t="shared" si="3" ref="W84:X86">LN(W80)</f>
        <v>-1.0986122886681098</v>
      </c>
      <c r="X84" s="93">
        <f t="shared" si="3"/>
        <v>-1.791759469228055</v>
      </c>
      <c r="Z84" s="114"/>
      <c r="AA84" s="116"/>
      <c r="AB84" s="116"/>
      <c r="AC84" s="114"/>
    </row>
    <row r="85" spans="22:29" ht="12.75">
      <c r="V85" s="94" t="s">
        <v>109</v>
      </c>
      <c r="W85" s="93">
        <f t="shared" si="3"/>
        <v>-1.264453977271555</v>
      </c>
      <c r="X85" s="93">
        <f t="shared" si="3"/>
        <v>-2.0497636692172905</v>
      </c>
      <c r="Z85" s="114"/>
      <c r="AA85" s="116"/>
      <c r="AB85" s="116"/>
      <c r="AC85" s="114"/>
    </row>
    <row r="86" spans="22:29" ht="12.75">
      <c r="V86" s="95" t="s">
        <v>110</v>
      </c>
      <c r="W86" s="93">
        <f t="shared" si="3"/>
        <v>-0.9454941737401855</v>
      </c>
      <c r="X86" s="93">
        <f t="shared" si="3"/>
        <v>-1.5464788429143412</v>
      </c>
      <c r="Z86" s="114"/>
      <c r="AA86" s="116"/>
      <c r="AB86" s="116"/>
      <c r="AC86" s="114"/>
    </row>
    <row r="87" spans="22:29" ht="12.75">
      <c r="V87" s="95" t="s">
        <v>111</v>
      </c>
      <c r="W87" s="95">
        <f>SQRT((W84-W85)^2+(X84-X86)^2)</f>
        <v>0.2960845340839163</v>
      </c>
      <c r="X87" s="95">
        <f>SQRT((W84-W86)^2+(X84-X85)^2)</f>
        <v>0.30001887329160887</v>
      </c>
      <c r="Z87" s="114"/>
      <c r="AA87" s="117"/>
      <c r="AB87" s="117"/>
      <c r="AC87" s="114"/>
    </row>
    <row r="88" spans="22:29" ht="12.75">
      <c r="V88" s="95" t="s">
        <v>112</v>
      </c>
      <c r="W88" s="96">
        <f>W84-X84-W87</f>
        <v>0.3970626464760289</v>
      </c>
      <c r="X88" s="96"/>
      <c r="Z88" s="114"/>
      <c r="AA88" s="117"/>
      <c r="AB88" s="117"/>
      <c r="AC88" s="114"/>
    </row>
    <row r="89" spans="22:29" ht="12.75">
      <c r="V89" s="95" t="s">
        <v>113</v>
      </c>
      <c r="W89" s="96">
        <f>W84-X84+X87</f>
        <v>0.9931660538515541</v>
      </c>
      <c r="X89" s="96"/>
      <c r="Z89" s="114"/>
      <c r="AA89" s="117"/>
      <c r="AB89" s="117"/>
      <c r="AC89" s="114"/>
    </row>
    <row r="90" spans="26:29" ht="12.75">
      <c r="Z90" s="114"/>
      <c r="AA90" s="114"/>
      <c r="AB90" s="114"/>
      <c r="AC90" s="114"/>
    </row>
    <row r="91" spans="22:29" ht="12.75">
      <c r="V91" s="11" t="s">
        <v>140</v>
      </c>
      <c r="W91" s="90">
        <f>W80/X80</f>
        <v>2</v>
      </c>
      <c r="Z91" s="118"/>
      <c r="AA91" s="116"/>
      <c r="AB91" s="114"/>
      <c r="AC91" s="114"/>
    </row>
    <row r="92" spans="22:29" ht="12.75">
      <c r="V92" t="s">
        <v>115</v>
      </c>
      <c r="W92" s="97">
        <f>EXP(W88)</f>
        <v>1.4874491105776104</v>
      </c>
      <c r="Z92" s="114"/>
      <c r="AA92" s="117"/>
      <c r="AB92" s="114"/>
      <c r="AC92" s="114"/>
    </row>
    <row r="93" spans="22:29" ht="12.75">
      <c r="V93" t="s">
        <v>116</v>
      </c>
      <c r="W93" s="91">
        <f>EXP(W89)</f>
        <v>2.6997685681906427</v>
      </c>
      <c r="Z93" s="114"/>
      <c r="AA93" s="117"/>
      <c r="AB93" s="114"/>
      <c r="AC93" s="114"/>
    </row>
    <row r="94" spans="23:29" ht="12.75">
      <c r="W94" t="str">
        <f>IF(OR(W92&gt;1,W93&lt;1),"s","ns")</f>
        <v>s</v>
      </c>
      <c r="Z94" s="114"/>
      <c r="AA94" s="114"/>
      <c r="AB94" s="114"/>
      <c r="AC94" s="114"/>
    </row>
    <row r="95" spans="26:29" ht="12.75">
      <c r="Z95" s="114"/>
      <c r="AA95" s="114"/>
      <c r="AB95" s="114"/>
      <c r="AC95" s="114"/>
    </row>
    <row r="96" spans="22:29" ht="12.75">
      <c r="V96" t="s">
        <v>139</v>
      </c>
      <c r="W96">
        <f>1/W91-1</f>
        <v>-0.5</v>
      </c>
      <c r="Z96" s="114"/>
      <c r="AA96" s="114"/>
      <c r="AB96" s="114"/>
      <c r="AC96" s="114"/>
    </row>
    <row r="97" ht="12.75">
      <c r="W97">
        <f>1/W93-1</f>
        <v>-0.6295978804323255</v>
      </c>
    </row>
    <row r="98" ht="12.75">
      <c r="W98">
        <f>1/W92-1</f>
        <v>-0.3277080924054758</v>
      </c>
    </row>
  </sheetData>
  <sheetProtection/>
  <mergeCells count="2">
    <mergeCell ref="C2:D2"/>
    <mergeCell ref="A4:A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8"/>
  <sheetViews>
    <sheetView zoomScalePageLayoutView="0" workbookViewId="0" topLeftCell="A1">
      <selection activeCell="V36" sqref="V36:AG99"/>
    </sheetView>
  </sheetViews>
  <sheetFormatPr defaultColWidth="9.140625" defaultRowHeight="12.75"/>
  <cols>
    <col min="1" max="1" width="12.00390625" style="0" customWidth="1"/>
    <col min="2" max="2" width="8.57421875" style="0" customWidth="1"/>
    <col min="6" max="6" width="10.140625" style="0" customWidth="1"/>
    <col min="7" max="7" width="11.00390625" style="0" customWidth="1"/>
    <col min="9" max="9" width="3.7109375" style="0" customWidth="1"/>
    <col min="13" max="13" width="3.7109375" style="0" customWidth="1"/>
    <col min="14" max="14" width="10.28125" style="0" customWidth="1"/>
    <col min="17" max="17" width="3.7109375" style="0" customWidth="1"/>
    <col min="21" max="21" width="3.7109375" style="0" customWidth="1"/>
    <col min="25" max="25" width="3.7109375" style="0" customWidth="1"/>
    <col min="26" max="26" width="13.00390625" style="0" customWidth="1"/>
    <col min="30" max="30" width="2.57421875" style="0" customWidth="1"/>
    <col min="31" max="31" width="12.57421875" style="0" customWidth="1"/>
  </cols>
  <sheetData>
    <row r="1" ht="15">
      <c r="B1" s="1" t="s">
        <v>18</v>
      </c>
    </row>
    <row r="2" spans="1:26" ht="15">
      <c r="A2" s="2" t="s">
        <v>0</v>
      </c>
      <c r="C2" s="122" t="s">
        <v>4</v>
      </c>
      <c r="D2" s="122"/>
      <c r="G2" t="s">
        <v>123</v>
      </c>
      <c r="H2" s="101">
        <v>0.05</v>
      </c>
      <c r="I2" t="s">
        <v>38</v>
      </c>
      <c r="J2" s="102">
        <f>NORMSINV(1-(H2/2))</f>
        <v>1.9599639845400536</v>
      </c>
      <c r="V2" t="s">
        <v>45</v>
      </c>
      <c r="Z2" t="s">
        <v>67</v>
      </c>
    </row>
    <row r="3" spans="2:24" ht="12.75">
      <c r="B3" t="s">
        <v>10</v>
      </c>
      <c r="C3" s="5" t="s">
        <v>1</v>
      </c>
      <c r="D3" s="5" t="s">
        <v>5</v>
      </c>
      <c r="E3" s="13" t="s">
        <v>7</v>
      </c>
      <c r="O3" s="41"/>
      <c r="R3" s="41"/>
      <c r="S3" s="54"/>
      <c r="V3" s="5" t="str">
        <f>C3</f>
        <v>a</v>
      </c>
      <c r="W3" s="5" t="str">
        <f>D3</f>
        <v>¬a</v>
      </c>
      <c r="X3" t="s">
        <v>43</v>
      </c>
    </row>
    <row r="4" spans="1:27" ht="12.75" customHeight="1">
      <c r="A4" s="121" t="s">
        <v>3</v>
      </c>
      <c r="B4" s="4" t="s">
        <v>2</v>
      </c>
      <c r="C4" s="14">
        <v>100</v>
      </c>
      <c r="D4" s="80">
        <f>E4-C4</f>
        <v>50</v>
      </c>
      <c r="E4" s="21">
        <v>150</v>
      </c>
      <c r="G4" s="26" t="s">
        <v>15</v>
      </c>
      <c r="U4" s="8" t="s">
        <v>36</v>
      </c>
      <c r="V4" s="50">
        <f>C4/C6</f>
        <v>0.3333333333333333</v>
      </c>
      <c r="W4" s="51">
        <f>D4/D6</f>
        <v>0.16666666666666666</v>
      </c>
      <c r="X4" s="41">
        <f>E4/E6</f>
        <v>0.25</v>
      </c>
      <c r="Z4" s="54">
        <f>W23-V4</f>
        <v>0.05515420978258595</v>
      </c>
      <c r="AA4" s="54">
        <f>W30-W4</f>
        <v>0.04632998294601659</v>
      </c>
    </row>
    <row r="5" spans="1:27" ht="12.75">
      <c r="A5" s="121"/>
      <c r="B5" s="4" t="s">
        <v>6</v>
      </c>
      <c r="C5" s="81">
        <f>C6-C4</f>
        <v>200</v>
      </c>
      <c r="D5" s="82">
        <f>D6-D4</f>
        <v>250</v>
      </c>
      <c r="E5" s="83">
        <f>E6-E4</f>
        <v>450</v>
      </c>
      <c r="U5" s="8" t="s">
        <v>40</v>
      </c>
      <c r="V5" s="52">
        <f>1-V4</f>
        <v>0.6666666666666667</v>
      </c>
      <c r="W5" s="53">
        <f>1-W4</f>
        <v>0.8333333333333334</v>
      </c>
      <c r="X5" s="41">
        <f>1-X4</f>
        <v>0.75</v>
      </c>
      <c r="Z5" s="54">
        <f>V4-W24</f>
        <v>0.05093988604107064</v>
      </c>
      <c r="AA5" s="54">
        <f>W4-W31</f>
        <v>0.03790133546298596</v>
      </c>
    </row>
    <row r="6" spans="2:23" ht="12.75">
      <c r="B6" s="12" t="s">
        <v>7</v>
      </c>
      <c r="C6" s="22">
        <v>300</v>
      </c>
      <c r="D6" s="84">
        <f>E6-C6</f>
        <v>300</v>
      </c>
      <c r="E6" s="23">
        <v>600</v>
      </c>
      <c r="G6" s="104"/>
      <c r="H6" s="104"/>
      <c r="I6" s="104"/>
      <c r="V6" t="s">
        <v>72</v>
      </c>
      <c r="W6" t="s">
        <v>73</v>
      </c>
    </row>
    <row r="7" spans="2:24" ht="12.75">
      <c r="B7" s="8"/>
      <c r="E7" s="10"/>
      <c r="X7" s="54"/>
    </row>
    <row r="8" spans="1:31" ht="15">
      <c r="A8" s="2" t="s">
        <v>8</v>
      </c>
      <c r="F8" t="s">
        <v>47</v>
      </c>
      <c r="N8" t="s">
        <v>49</v>
      </c>
      <c r="R8" t="s">
        <v>50</v>
      </c>
      <c r="V8" t="s">
        <v>48</v>
      </c>
      <c r="Z8" t="s">
        <v>55</v>
      </c>
      <c r="AE8" t="s">
        <v>79</v>
      </c>
    </row>
    <row r="9" spans="1:33" ht="12.75">
      <c r="A9" s="56" t="s">
        <v>52</v>
      </c>
      <c r="F9" s="28" t="s">
        <v>14</v>
      </c>
      <c r="G9" s="28"/>
      <c r="H9" s="28"/>
      <c r="J9" s="28" t="s">
        <v>53</v>
      </c>
      <c r="K9" s="28"/>
      <c r="L9" s="28"/>
      <c r="N9" s="64" t="s">
        <v>22</v>
      </c>
      <c r="O9" s="65"/>
      <c r="P9" s="66"/>
      <c r="R9" s="28" t="s">
        <v>23</v>
      </c>
      <c r="S9" s="28"/>
      <c r="T9" s="28"/>
      <c r="V9" s="28" t="s">
        <v>34</v>
      </c>
      <c r="W9" s="28"/>
      <c r="X9" s="28"/>
      <c r="Z9" s="64" t="s">
        <v>58</v>
      </c>
      <c r="AA9" s="65"/>
      <c r="AB9" s="65"/>
      <c r="AC9" s="66"/>
      <c r="AE9" s="28" t="s">
        <v>77</v>
      </c>
      <c r="AF9" s="28"/>
      <c r="AG9" s="28"/>
    </row>
    <row r="10" spans="1:33" ht="12.75">
      <c r="A10" s="3"/>
      <c r="B10" t="s">
        <v>9</v>
      </c>
      <c r="C10" s="5" t="str">
        <f>$C$3</f>
        <v>a</v>
      </c>
      <c r="D10" s="5" t="str">
        <f>$D$3</f>
        <v>¬a</v>
      </c>
      <c r="F10" s="29" t="s">
        <v>11</v>
      </c>
      <c r="G10" s="30" t="str">
        <f>$C$3</f>
        <v>a</v>
      </c>
      <c r="H10" s="30" t="str">
        <f>$D$3</f>
        <v>¬a</v>
      </c>
      <c r="J10" s="29"/>
      <c r="K10" s="30"/>
      <c r="L10" s="30"/>
      <c r="N10" s="74" t="s">
        <v>11</v>
      </c>
      <c r="O10" s="30" t="str">
        <f>$C$3</f>
        <v>a</v>
      </c>
      <c r="P10" s="75" t="str">
        <f>$D$3</f>
        <v>¬a</v>
      </c>
      <c r="R10" s="35" t="s">
        <v>13</v>
      </c>
      <c r="S10" s="30" t="str">
        <f>$C$3</f>
        <v>a</v>
      </c>
      <c r="T10" s="30" t="str">
        <f>$D$3</f>
        <v>¬a</v>
      </c>
      <c r="V10" s="28"/>
      <c r="W10" s="30" t="str">
        <f>$C$3</f>
        <v>a</v>
      </c>
      <c r="X10" s="30" t="str">
        <f>$D$3</f>
        <v>¬a</v>
      </c>
      <c r="Z10" s="67" t="s">
        <v>60</v>
      </c>
      <c r="AA10" s="61">
        <f>2*(C6+$J$2*$J$2)</f>
        <v>607.6829176413883</v>
      </c>
      <c r="AB10" s="61">
        <f>2*(D6+$J$2*$J$2)</f>
        <v>607.6829176413883</v>
      </c>
      <c r="AC10" s="68"/>
      <c r="AE10" s="28"/>
      <c r="AF10" s="28"/>
      <c r="AG10" s="28"/>
    </row>
    <row r="11" spans="1:33" ht="12.75">
      <c r="A11" s="3"/>
      <c r="B11" s="4" t="str">
        <f>$B$4</f>
        <v>b</v>
      </c>
      <c r="C11" s="17">
        <f>$E4*C$6/$E$6</f>
        <v>75</v>
      </c>
      <c r="D11" s="18">
        <f>$E4*D$6/$E$6</f>
        <v>75</v>
      </c>
      <c r="F11" s="28"/>
      <c r="G11" s="43">
        <f>(C4-C11)^2/C11</f>
        <v>8.333333333333334</v>
      </c>
      <c r="H11" s="43">
        <f>(D4-D11)^2/D11</f>
        <v>8.333333333333334</v>
      </c>
      <c r="J11" s="28" t="s">
        <v>30</v>
      </c>
      <c r="K11" s="39" t="s">
        <v>31</v>
      </c>
      <c r="L11" s="31"/>
      <c r="N11" s="67"/>
      <c r="O11" s="31">
        <f>(ABS(C4-C11)-0.5)^2/C11</f>
        <v>8.003333333333334</v>
      </c>
      <c r="P11" s="76">
        <f>(ABS(D4-D11)-0.5)^2/D11</f>
        <v>8.003333333333334</v>
      </c>
      <c r="R11" s="28"/>
      <c r="S11" s="34">
        <f>IF(C4=0,0,2*C4*LN(C4/C11))</f>
        <v>57.53641449035617</v>
      </c>
      <c r="T11" s="34">
        <f>IF(D4=0,0,2*D4*LN(D4/D11))</f>
        <v>-40.54651081081644</v>
      </c>
      <c r="V11" s="28" t="s">
        <v>44</v>
      </c>
      <c r="W11" s="28">
        <f>$J$2*$J$2/C6</f>
        <v>0.012804862735647078</v>
      </c>
      <c r="X11" s="28">
        <f>$J$2*$J$2/D6</f>
        <v>0.012804862735647078</v>
      </c>
      <c r="Z11" s="67" t="s">
        <v>59</v>
      </c>
      <c r="AA11" s="61">
        <f>$J$2*$J$2-(1/C6)+(4*C6*V4*V5)</f>
        <v>270.5047921540275</v>
      </c>
      <c r="AB11" s="61">
        <f>$J$2*$J$2-(1/D6)+(4*D6*W4*W5)</f>
        <v>170.50479215402748</v>
      </c>
      <c r="AC11" s="68"/>
      <c r="AE11" s="28" t="s">
        <v>80</v>
      </c>
      <c r="AF11" s="28"/>
      <c r="AG11" s="28"/>
    </row>
    <row r="12" spans="1:33" ht="12.75">
      <c r="A12" s="3"/>
      <c r="B12" s="4" t="str">
        <f>$B$5</f>
        <v>¬b</v>
      </c>
      <c r="C12" s="19">
        <f>$E5*C$6/$E$6</f>
        <v>225</v>
      </c>
      <c r="D12" s="20">
        <f>$E5*D$6/$E$6</f>
        <v>225</v>
      </c>
      <c r="F12" s="28"/>
      <c r="G12" s="43">
        <f>(C5-C12)^2/C12</f>
        <v>2.7777777777777777</v>
      </c>
      <c r="H12" s="43">
        <f>(D5-D12)^2/D12</f>
        <v>2.7777777777777777</v>
      </c>
      <c r="J12" s="38" t="s">
        <v>84</v>
      </c>
      <c r="K12" s="31"/>
      <c r="L12" s="31"/>
      <c r="N12" s="67"/>
      <c r="O12" s="31">
        <f>(ABS(C5-C12)-0.5)^2/C12</f>
        <v>2.667777777777778</v>
      </c>
      <c r="P12" s="76">
        <f>(ABS(D5-D12)-0.5)^2/D12</f>
        <v>2.667777777777778</v>
      </c>
      <c r="R12" s="28"/>
      <c r="S12" s="34">
        <f>IF(C5=0,0,2*C5*LN(C5/C12))</f>
        <v>-47.113214262553406</v>
      </c>
      <c r="T12" s="34">
        <f>IF(D5=0,0,2*D5*LN(D5/D12))</f>
        <v>52.68025782891318</v>
      </c>
      <c r="V12" s="28"/>
      <c r="W12" s="31"/>
      <c r="X12" s="28"/>
      <c r="Z12" s="67" t="s">
        <v>56</v>
      </c>
      <c r="AA12" s="61">
        <f>2-4*V4</f>
        <v>0.6666666666666667</v>
      </c>
      <c r="AB12" s="61">
        <f>2-4*W4</f>
        <v>1.3333333333333335</v>
      </c>
      <c r="AC12" s="68"/>
      <c r="AE12" s="28"/>
      <c r="AF12" s="28"/>
      <c r="AG12" s="28"/>
    </row>
    <row r="13" spans="1:33" ht="12.75">
      <c r="A13" s="3"/>
      <c r="C13" s="36"/>
      <c r="D13" s="36"/>
      <c r="F13" s="32" t="s">
        <v>7</v>
      </c>
      <c r="G13" s="33">
        <f>SUM(G11:H12)</f>
        <v>22.222222222222225</v>
      </c>
      <c r="H13" s="35"/>
      <c r="J13" s="40" t="s">
        <v>85</v>
      </c>
      <c r="K13" s="37"/>
      <c r="L13" s="28"/>
      <c r="N13" s="70" t="s">
        <v>7</v>
      </c>
      <c r="O13" s="33">
        <f>SUM(O11:P12)</f>
        <v>21.342222222222226</v>
      </c>
      <c r="P13" s="68"/>
      <c r="R13" s="32" t="s">
        <v>7</v>
      </c>
      <c r="S13" s="33">
        <f>SUM(S11:T12)</f>
        <v>22.5569472458995</v>
      </c>
      <c r="T13" s="28"/>
      <c r="V13" s="28"/>
      <c r="W13" s="31"/>
      <c r="X13" s="31"/>
      <c r="Z13" s="67"/>
      <c r="AA13" s="38"/>
      <c r="AB13" s="38"/>
      <c r="AC13" s="68"/>
      <c r="AE13" s="28"/>
      <c r="AF13" s="28"/>
      <c r="AG13" s="28"/>
    </row>
    <row r="14" spans="1:33" ht="12.75">
      <c r="A14" s="27" t="s">
        <v>19</v>
      </c>
      <c r="F14" s="28" t="s">
        <v>12</v>
      </c>
      <c r="G14" s="34">
        <f>CHIDIST(G13,1)</f>
        <v>2.42846747297584E-06</v>
      </c>
      <c r="H14" s="35" t="str">
        <f>IF((G14&lt;H2),"s","ns")</f>
        <v>s</v>
      </c>
      <c r="J14" s="38" t="s">
        <v>54</v>
      </c>
      <c r="K14" s="37"/>
      <c r="L14" s="35"/>
      <c r="N14" s="67" t="s">
        <v>12</v>
      </c>
      <c r="O14" s="37">
        <f>CHIDIST(O13,1)</f>
        <v>3.8417620981830605E-06</v>
      </c>
      <c r="P14" s="77" t="str">
        <f>IF((O14&lt;$H$2),"s","ns")</f>
        <v>s</v>
      </c>
      <c r="R14" s="28" t="s">
        <v>12</v>
      </c>
      <c r="S14" s="34">
        <f>CHIDIST(S13,1)</f>
        <v>2.0400545153694343E-06</v>
      </c>
      <c r="T14" s="35" t="str">
        <f>IF((S14&lt;$H$2),"s","ns")</f>
        <v>s</v>
      </c>
      <c r="V14" s="28" t="s">
        <v>69</v>
      </c>
      <c r="W14" s="44">
        <f>J2*SQRT(W23*(1-W23)/C6+W31*(1-W31)/D6)</f>
        <v>0.06692158162072452</v>
      </c>
      <c r="X14" s="42" t="s">
        <v>119</v>
      </c>
      <c r="Z14" s="67" t="s">
        <v>69</v>
      </c>
      <c r="AA14" s="61">
        <f>SQRT((AA31-W4)^2+(V4-AA23)^2)</f>
        <v>0.06917015785333233</v>
      </c>
      <c r="AB14" s="61">
        <f>SQRT((AB31-W4)^2+(V4-AB23)^2)</f>
        <v>0.06917015785333233</v>
      </c>
      <c r="AC14" s="79"/>
      <c r="AD14" s="54"/>
      <c r="AE14" s="28"/>
      <c r="AF14" s="28"/>
      <c r="AG14" s="28"/>
    </row>
    <row r="15" spans="6:33" ht="12.75">
      <c r="F15" s="38"/>
      <c r="G15" s="38"/>
      <c r="H15" s="38"/>
      <c r="J15" s="35"/>
      <c r="K15" s="35"/>
      <c r="L15" s="35"/>
      <c r="N15" s="67"/>
      <c r="O15" s="37"/>
      <c r="P15" s="77"/>
      <c r="R15" s="28"/>
      <c r="S15" s="34"/>
      <c r="T15" s="35"/>
      <c r="V15" s="28" t="s">
        <v>70</v>
      </c>
      <c r="W15" s="44">
        <f>-J2*SQRT(W24*(1-W24)/C6+W30*(1-W30)/D6)</f>
        <v>-0.06885738384266026</v>
      </c>
      <c r="X15" s="43"/>
      <c r="Z15" s="67" t="s">
        <v>70</v>
      </c>
      <c r="AA15" s="61">
        <f>-SQRT((AA30-W4)^2+(V4-AA24)^2)</f>
        <v>-0.07124420408873876</v>
      </c>
      <c r="AB15" s="61">
        <f>-SQRT((AB30-W4)^2+(V4-AB24)^2)</f>
        <v>-0.07124420408873876</v>
      </c>
      <c r="AC15" s="69"/>
      <c r="AE15" s="28"/>
      <c r="AF15" s="28"/>
      <c r="AG15" s="28"/>
    </row>
    <row r="16" spans="6:33" ht="12.75">
      <c r="F16" s="28" t="s">
        <v>33</v>
      </c>
      <c r="G16" s="42">
        <f>(C4*D5-C5*D4)/SQRT(E4*E5*C6*D6)</f>
        <v>0.19245008972987526</v>
      </c>
      <c r="H16" s="38"/>
      <c r="J16" s="28" t="s">
        <v>103</v>
      </c>
      <c r="K16" s="99">
        <f>W75</f>
        <v>2.4999999999999996</v>
      </c>
      <c r="L16" s="28"/>
      <c r="N16" s="67" t="s">
        <v>33</v>
      </c>
      <c r="O16" s="61">
        <f>G16</f>
        <v>0.19245008972987526</v>
      </c>
      <c r="P16" s="77"/>
      <c r="R16" s="119" t="s">
        <v>144</v>
      </c>
      <c r="S16" s="42">
        <f>W96</f>
        <v>-0.5</v>
      </c>
      <c r="T16" s="35"/>
      <c r="V16" s="28" t="s">
        <v>71</v>
      </c>
      <c r="W16" s="49">
        <f>W4-V4</f>
        <v>-0.16666666666666666</v>
      </c>
      <c r="X16" s="45" t="str">
        <f>IF(W16&lt;W15,"s-",IF(W16&gt;W14,"s+","ns"))</f>
        <v>s-</v>
      </c>
      <c r="Z16" s="67" t="s">
        <v>98</v>
      </c>
      <c r="AA16" s="60">
        <f>W16</f>
        <v>-0.16666666666666666</v>
      </c>
      <c r="AB16" s="45" t="str">
        <f>IF(AA16&lt;AB15,"s-",IF(AA16&gt;AB14,"s+","ns"))</f>
        <v>s-</v>
      </c>
      <c r="AC16" s="69"/>
      <c r="AE16" s="28"/>
      <c r="AF16" s="28"/>
      <c r="AG16" s="28"/>
    </row>
    <row r="17" spans="6:33" ht="12.75">
      <c r="F17" s="110" t="s">
        <v>121</v>
      </c>
      <c r="G17" s="89">
        <f>W56</f>
        <v>0.1131555993750263</v>
      </c>
      <c r="H17" s="38"/>
      <c r="J17" s="28" t="s">
        <v>115</v>
      </c>
      <c r="K17" s="89">
        <f>W76</f>
        <v>1.6997641984015972</v>
      </c>
      <c r="L17" s="28"/>
      <c r="N17" s="111" t="s">
        <v>121</v>
      </c>
      <c r="O17" s="61">
        <f>AA56</f>
        <v>0.11025164354711338</v>
      </c>
      <c r="P17" s="77"/>
      <c r="R17" s="88" t="s">
        <v>142</v>
      </c>
      <c r="S17" s="42">
        <f>W97</f>
        <v>-0.6295978804323255</v>
      </c>
      <c r="T17" s="35"/>
      <c r="V17" s="28" t="s">
        <v>87</v>
      </c>
      <c r="W17" s="43">
        <f>W16-W14</f>
        <v>-0.23358824828739116</v>
      </c>
      <c r="X17" s="31" t="s">
        <v>145</v>
      </c>
      <c r="Z17" s="67" t="s">
        <v>87</v>
      </c>
      <c r="AA17" s="43">
        <f>AA16-AA14</f>
        <v>-0.235836824519999</v>
      </c>
      <c r="AB17" s="45"/>
      <c r="AC17" s="69"/>
      <c r="AE17" s="28"/>
      <c r="AF17" s="28"/>
      <c r="AG17" s="28"/>
    </row>
    <row r="18" spans="6:33" ht="12.75">
      <c r="F18" s="110" t="s">
        <v>122</v>
      </c>
      <c r="G18" s="89">
        <f>W57</f>
        <v>0.26733095954078184</v>
      </c>
      <c r="H18" s="32" t="str">
        <f>IF(G17&gt;0,"s+",IF(G18&lt;0,"s-","ns"))</f>
        <v>s+</v>
      </c>
      <c r="J18" s="28" t="s">
        <v>116</v>
      </c>
      <c r="K18" s="42">
        <f>W77</f>
        <v>3.676980610532506</v>
      </c>
      <c r="L18" s="35" t="str">
        <f>IF(K17&gt;1,"s+",IF(K18&lt;1,"s-","ns"))</f>
        <v>s+</v>
      </c>
      <c r="N18" s="111" t="s">
        <v>122</v>
      </c>
      <c r="O18" s="61">
        <f>AA57</f>
        <v>0.2700037567966091</v>
      </c>
      <c r="P18" s="77" t="str">
        <f>IF(O17&gt;0,"s+",IF(O18&lt;0,"s-","ns"))</f>
        <v>s+</v>
      </c>
      <c r="R18" s="88" t="s">
        <v>143</v>
      </c>
      <c r="S18" s="42">
        <f>W98</f>
        <v>-0.3277080924054758</v>
      </c>
      <c r="T18" s="35"/>
      <c r="V18" s="119" t="s">
        <v>86</v>
      </c>
      <c r="W18" s="43">
        <f>W16-W15</f>
        <v>-0.0978092828240064</v>
      </c>
      <c r="X18" s="45"/>
      <c r="Z18" s="120" t="s">
        <v>86</v>
      </c>
      <c r="AA18" s="43">
        <f>AA16-AA15</f>
        <v>-0.0954224625779279</v>
      </c>
      <c r="AB18" s="45"/>
      <c r="AC18" s="69"/>
      <c r="AE18" s="28"/>
      <c r="AF18" s="28"/>
      <c r="AG18" s="28"/>
    </row>
    <row r="19" spans="1:33" ht="12.75">
      <c r="A19" s="56" t="s">
        <v>51</v>
      </c>
      <c r="F19" s="38"/>
      <c r="G19" s="38"/>
      <c r="H19" s="38"/>
      <c r="J19" s="28"/>
      <c r="K19" s="28"/>
      <c r="L19" s="28"/>
      <c r="N19" s="67"/>
      <c r="O19" s="38"/>
      <c r="P19" s="68"/>
      <c r="R19" s="28"/>
      <c r="S19" s="28"/>
      <c r="T19" s="28"/>
      <c r="V19" s="28"/>
      <c r="W19" s="28"/>
      <c r="X19" s="28"/>
      <c r="Z19" s="67"/>
      <c r="AA19" s="38"/>
      <c r="AB19" s="38"/>
      <c r="AC19" s="68"/>
      <c r="AE19" s="28"/>
      <c r="AF19" s="28"/>
      <c r="AG19" s="28"/>
    </row>
    <row r="20" spans="1:33" ht="12.75">
      <c r="A20" s="13" t="s">
        <v>1</v>
      </c>
      <c r="B20" t="s">
        <v>9</v>
      </c>
      <c r="C20" s="5" t="str">
        <f>$C$3</f>
        <v>a</v>
      </c>
      <c r="D20" s="3"/>
      <c r="F20" s="29" t="s">
        <v>11</v>
      </c>
      <c r="G20" s="30" t="str">
        <f>$C$3</f>
        <v>a</v>
      </c>
      <c r="H20" s="28"/>
      <c r="J20" s="32" t="s">
        <v>26</v>
      </c>
      <c r="K20" s="30" t="str">
        <f>$C$3</f>
        <v>a</v>
      </c>
      <c r="L20" s="28"/>
      <c r="N20" s="74" t="s">
        <v>11</v>
      </c>
      <c r="O20" s="30" t="str">
        <f>$C$3</f>
        <v>a</v>
      </c>
      <c r="P20" s="68"/>
      <c r="R20" s="35" t="s">
        <v>13</v>
      </c>
      <c r="S20" s="30" t="str">
        <f>$C$3</f>
        <v>a</v>
      </c>
      <c r="T20" s="28"/>
      <c r="V20" s="28" t="s">
        <v>35</v>
      </c>
      <c r="W20" s="30" t="str">
        <f>$C$3</f>
        <v>a</v>
      </c>
      <c r="X20" s="28"/>
      <c r="Z20" s="67" t="s">
        <v>57</v>
      </c>
      <c r="AA20" s="30" t="str">
        <f>$C$3</f>
        <v>a</v>
      </c>
      <c r="AB20" s="38"/>
      <c r="AC20" s="68"/>
      <c r="AE20" s="28"/>
      <c r="AF20" s="35" t="s">
        <v>1</v>
      </c>
      <c r="AG20" s="28"/>
    </row>
    <row r="21" spans="1:33" ht="12.75">
      <c r="A21" s="3"/>
      <c r="B21" s="4" t="str">
        <f>$B$4</f>
        <v>b</v>
      </c>
      <c r="C21" s="24">
        <f>$E4*C$6/$E$6</f>
        <v>75</v>
      </c>
      <c r="E21" s="78"/>
      <c r="F21" s="28"/>
      <c r="G21" s="31">
        <f>(C4-C11)^2/C11</f>
        <v>8.333333333333334</v>
      </c>
      <c r="H21" s="28"/>
      <c r="J21" s="28" t="s">
        <v>27</v>
      </c>
      <c r="K21" s="31">
        <f>ABS(C21-C4)</f>
        <v>25</v>
      </c>
      <c r="L21" s="28"/>
      <c r="N21" s="67"/>
      <c r="O21" s="31">
        <f>(ABS(C4-C11)-0.5)^2/C11</f>
        <v>8.003333333333334</v>
      </c>
      <c r="P21" s="68"/>
      <c r="R21" s="28"/>
      <c r="S21" s="34">
        <f>IF(C4=0,0,2*C4*LN(C4/C11))</f>
        <v>57.53641449035617</v>
      </c>
      <c r="T21" s="28"/>
      <c r="V21" s="28" t="s">
        <v>39</v>
      </c>
      <c r="W21" s="43">
        <f>(V4+W11/2)/(1+W11)</f>
        <v>0.33544049520409097</v>
      </c>
      <c r="X21" s="28" t="s">
        <v>136</v>
      </c>
      <c r="Z21" s="67"/>
      <c r="AA21" s="38"/>
      <c r="AB21" s="38"/>
      <c r="AC21" s="68" t="s">
        <v>136</v>
      </c>
      <c r="AE21" s="28"/>
      <c r="AF21" s="28"/>
      <c r="AG21" s="28"/>
    </row>
    <row r="22" spans="1:33" ht="12.75">
      <c r="A22" s="3"/>
      <c r="B22" s="4" t="str">
        <f>$B$5</f>
        <v>¬b</v>
      </c>
      <c r="C22" s="25">
        <f>$E5*C$6/$E$6</f>
        <v>225</v>
      </c>
      <c r="F22" s="28"/>
      <c r="G22" s="31">
        <f>(C5-C12)^2/C12</f>
        <v>2.7777777777777777</v>
      </c>
      <c r="H22" s="28"/>
      <c r="J22" s="28" t="s">
        <v>28</v>
      </c>
      <c r="K22" s="55">
        <f>SQRT((X4*(1-X4))*C6)*1.95996</f>
        <v>14.6997</v>
      </c>
      <c r="L22" s="35" t="str">
        <f>IF((K21&gt;K22),"s","ns")</f>
        <v>s</v>
      </c>
      <c r="N22" s="67"/>
      <c r="O22" s="31">
        <f>(ABS(C5-C12)-0.5)^2/C12</f>
        <v>2.667777777777778</v>
      </c>
      <c r="P22" s="68"/>
      <c r="R22" s="28"/>
      <c r="S22" s="34">
        <f>IF(C5=0,0,2*C5*LN(C5/C12))</f>
        <v>-47.113214262553406</v>
      </c>
      <c r="T22" s="28"/>
      <c r="V22" s="28" t="s">
        <v>68</v>
      </c>
      <c r="W22" s="42">
        <f>$J$2*SQRT((V4*V5+W11/4)/C6)/(1+W11)</f>
        <v>0.053047047911828266</v>
      </c>
      <c r="X22" s="42">
        <f>V4-X4</f>
        <v>0.08333333333333331</v>
      </c>
      <c r="Z22" s="67"/>
      <c r="AA22" s="38"/>
      <c r="AB22" s="38"/>
      <c r="AC22" s="69">
        <f>V4-X4</f>
        <v>0.08333333333333331</v>
      </c>
      <c r="AE22" s="28"/>
      <c r="AF22" s="28"/>
      <c r="AG22" s="28"/>
    </row>
    <row r="23" spans="1:33" ht="12.75">
      <c r="A23" s="3"/>
      <c r="F23" s="32" t="s">
        <v>7</v>
      </c>
      <c r="G23" s="33">
        <f>SUM(G21:H22)</f>
        <v>11.11111111111111</v>
      </c>
      <c r="H23" s="28"/>
      <c r="J23" s="28" t="s">
        <v>29</v>
      </c>
      <c r="K23" s="37">
        <f>SQRT((X4*(1-X4))*C6)*2.57583</f>
        <v>19.318725</v>
      </c>
      <c r="L23" s="35" t="str">
        <f>IF((K21&gt;K23),"s","ns")</f>
        <v>s</v>
      </c>
      <c r="N23" s="70" t="s">
        <v>7</v>
      </c>
      <c r="O23" s="33">
        <f>SUM(O21:P22)</f>
        <v>10.671111111111111</v>
      </c>
      <c r="P23" s="68"/>
      <c r="R23" s="32" t="s">
        <v>7</v>
      </c>
      <c r="S23" s="33">
        <f>SUM(S21:T22)</f>
        <v>10.423200227802766</v>
      </c>
      <c r="T23" s="28"/>
      <c r="V23" s="32" t="s">
        <v>41</v>
      </c>
      <c r="W23" s="47">
        <f>W21+W22</f>
        <v>0.38848754311591926</v>
      </c>
      <c r="X23" s="42">
        <f>W23-X4</f>
        <v>0.13848754311591926</v>
      </c>
      <c r="Z23" s="70" t="s">
        <v>41</v>
      </c>
      <c r="AA23" s="47">
        <f>MAX(V4,MIN(AB23,1))</f>
        <v>0.39019813866940956</v>
      </c>
      <c r="AB23" s="61">
        <f>W21+($J$2*SQRT(AA11+AA12)+1)/AA10</f>
        <v>0.39019813866940956</v>
      </c>
      <c r="AC23" s="69">
        <f>AA23-X4</f>
        <v>0.14019813866940956</v>
      </c>
      <c r="AE23" s="28" t="s">
        <v>81</v>
      </c>
      <c r="AF23" s="42">
        <f>IF(X4&lt;V4,1-BINOMDIST(C4-1,C6,X4,TRUE),BINOMDIST(C4,C6,X4,TRUE))</f>
        <v>0.0007476168920783621</v>
      </c>
      <c r="AG23" s="42"/>
    </row>
    <row r="24" spans="1:33" ht="12.75">
      <c r="A24" s="27" t="s">
        <v>21</v>
      </c>
      <c r="F24" s="28" t="s">
        <v>12</v>
      </c>
      <c r="G24" s="34">
        <f>CHIDIST(G23,1)</f>
        <v>0.000858120666393674</v>
      </c>
      <c r="H24" s="35" t="str">
        <f>IF((G24&lt;H2),"s","ns")</f>
        <v>s</v>
      </c>
      <c r="J24" s="28"/>
      <c r="K24" s="34"/>
      <c r="L24" s="35"/>
      <c r="N24" s="67" t="s">
        <v>12</v>
      </c>
      <c r="O24" s="37">
        <f>CHIDIST(O23,1)</f>
        <v>0.0010882173049342834</v>
      </c>
      <c r="P24" s="77" t="str">
        <f>IF((O24&lt;$H$2),"s","ns")</f>
        <v>s</v>
      </c>
      <c r="R24" s="28" t="s">
        <v>12</v>
      </c>
      <c r="S24" s="34">
        <f>CHIDIST(S23,1)</f>
        <v>0.0012444206895429913</v>
      </c>
      <c r="T24" s="35" t="str">
        <f>IF((S24&lt;$H$2),"s","ns")</f>
        <v>s</v>
      </c>
      <c r="V24" s="35" t="s">
        <v>42</v>
      </c>
      <c r="W24" s="48">
        <f>W21-W22</f>
        <v>0.2823934472922627</v>
      </c>
      <c r="X24" s="42">
        <f>W24-X4</f>
        <v>0.03239344729226268</v>
      </c>
      <c r="Z24" s="70" t="s">
        <v>42</v>
      </c>
      <c r="AA24" s="48">
        <f>MIN(V4,MAX(AB24,0))</f>
        <v>0.2808135869737572</v>
      </c>
      <c r="AB24" s="61">
        <f>W21-($J$2*SQRT(AA11-AA12)+1)/AA10</f>
        <v>0.2808135869737572</v>
      </c>
      <c r="AC24" s="69">
        <f>AA24-X4</f>
        <v>0.03081358697375719</v>
      </c>
      <c r="AD24" s="62"/>
      <c r="AE24" s="28" t="s">
        <v>75</v>
      </c>
      <c r="AF24" s="28" t="str">
        <f>IF(AF23&lt;0.025,"s+",IF(AF23&gt;0.925,"s-","ns"))</f>
        <v>s+</v>
      </c>
      <c r="AG24" s="28"/>
    </row>
    <row r="25" spans="6:33" ht="12.75">
      <c r="F25" s="28" t="s">
        <v>135</v>
      </c>
      <c r="G25" s="42">
        <f>SQRT((G21*X4+G22*X5)/(2*C6))</f>
        <v>0.08333333333333333</v>
      </c>
      <c r="H25" s="28"/>
      <c r="J25" s="28"/>
      <c r="K25" s="34"/>
      <c r="L25" s="35"/>
      <c r="N25" s="67"/>
      <c r="O25" s="37"/>
      <c r="P25" s="77"/>
      <c r="R25" s="28"/>
      <c r="S25" s="34"/>
      <c r="T25" s="35"/>
      <c r="V25" s="28"/>
      <c r="W25" s="46" t="str">
        <f>IF($X4&gt;W23,"s+",IF($X4&lt;W24,"s-","ns"))</f>
        <v>s-</v>
      </c>
      <c r="X25" s="42"/>
      <c r="Z25" s="67"/>
      <c r="AA25" s="32" t="str">
        <f>IF($X4&gt;AB23,"s+",IF($X4&lt;AB24,"s-","ns"))</f>
        <v>s-</v>
      </c>
      <c r="AB25" s="38"/>
      <c r="AC25" s="68"/>
      <c r="AE25" s="28" t="s">
        <v>76</v>
      </c>
      <c r="AF25" s="28" t="str">
        <f>IF(AF23&lt;0.005,"s+",IF(AF23&gt;0.995,"s-","ns"))</f>
        <v>s+</v>
      </c>
      <c r="AG25" s="28"/>
    </row>
    <row r="26" spans="1:33" ht="12.75">
      <c r="A26" s="56"/>
      <c r="F26" s="28"/>
      <c r="G26" s="34"/>
      <c r="H26" s="28"/>
      <c r="J26" s="28"/>
      <c r="K26" s="34"/>
      <c r="L26" s="35"/>
      <c r="N26" s="67"/>
      <c r="O26" s="37"/>
      <c r="P26" s="77"/>
      <c r="R26" s="28"/>
      <c r="S26" s="34"/>
      <c r="T26" s="35"/>
      <c r="V26" s="28"/>
      <c r="W26" s="34"/>
      <c r="X26" s="42"/>
      <c r="Z26" s="67"/>
      <c r="AA26" s="38"/>
      <c r="AB26" s="38"/>
      <c r="AC26" s="68"/>
      <c r="AE26" s="28"/>
      <c r="AF26" s="28"/>
      <c r="AG26" s="28"/>
    </row>
    <row r="27" spans="1:33" ht="12.75">
      <c r="A27" s="13" t="s">
        <v>5</v>
      </c>
      <c r="B27" t="s">
        <v>9</v>
      </c>
      <c r="D27" s="5" t="str">
        <f>$D$3</f>
        <v>¬a</v>
      </c>
      <c r="F27" s="29" t="s">
        <v>11</v>
      </c>
      <c r="G27" s="30" t="str">
        <f>$D$3</f>
        <v>¬a</v>
      </c>
      <c r="H27" s="28"/>
      <c r="J27" s="32" t="s">
        <v>26</v>
      </c>
      <c r="K27" s="30" t="str">
        <f>$D$3</f>
        <v>¬a</v>
      </c>
      <c r="L27" s="28"/>
      <c r="N27" s="74" t="s">
        <v>11</v>
      </c>
      <c r="O27" s="30" t="str">
        <f>$D$3</f>
        <v>¬a</v>
      </c>
      <c r="P27" s="68"/>
      <c r="R27" s="35" t="s">
        <v>13</v>
      </c>
      <c r="S27" s="30" t="str">
        <f>$D$3</f>
        <v>¬a</v>
      </c>
      <c r="T27" s="28"/>
      <c r="V27" s="28" t="s">
        <v>35</v>
      </c>
      <c r="W27" s="30" t="str">
        <f>$D$3</f>
        <v>¬a</v>
      </c>
      <c r="X27" s="42"/>
      <c r="Z27" s="67"/>
      <c r="AA27" s="30" t="str">
        <f>$D$3</f>
        <v>¬a</v>
      </c>
      <c r="AB27" s="38"/>
      <c r="AC27" s="68"/>
      <c r="AE27" s="28"/>
      <c r="AF27" s="35" t="s">
        <v>5</v>
      </c>
      <c r="AG27" s="28"/>
    </row>
    <row r="28" spans="2:33" ht="12.75">
      <c r="B28" s="4" t="str">
        <f>$B$4</f>
        <v>b</v>
      </c>
      <c r="D28" s="24">
        <f>$E4*D$6/$E$6</f>
        <v>75</v>
      </c>
      <c r="F28" s="28"/>
      <c r="G28" s="31">
        <f>(D4-D11)^2/D11</f>
        <v>8.333333333333334</v>
      </c>
      <c r="H28" s="28"/>
      <c r="J28" s="28" t="s">
        <v>27</v>
      </c>
      <c r="K28" s="31">
        <f>ABS(D28-D4)</f>
        <v>25</v>
      </c>
      <c r="L28" s="28"/>
      <c r="N28" s="67"/>
      <c r="O28" s="31">
        <f>(ABS(D4-D11)-0.5)^2/D11</f>
        <v>8.003333333333334</v>
      </c>
      <c r="P28" s="68"/>
      <c r="R28" s="28"/>
      <c r="S28" s="34">
        <f>IF(D4=0,0,2*D4*LN(D4/D11))</f>
        <v>-40.54651081081644</v>
      </c>
      <c r="T28" s="28"/>
      <c r="V28" s="28" t="s">
        <v>39</v>
      </c>
      <c r="W28" s="43">
        <f>(W4+X11/2)/(1+X11)</f>
        <v>0.17088099040818197</v>
      </c>
      <c r="X28" s="42"/>
      <c r="Z28" s="67"/>
      <c r="AA28" s="38"/>
      <c r="AB28" s="38"/>
      <c r="AC28" s="68"/>
      <c r="AD28" s="54"/>
      <c r="AE28" s="28"/>
      <c r="AF28" s="28"/>
      <c r="AG28" s="28"/>
    </row>
    <row r="29" spans="2:33" ht="12.75">
      <c r="B29" s="4" t="str">
        <f>$B$5</f>
        <v>¬b</v>
      </c>
      <c r="D29" s="25">
        <f>$E5*D$6/$E$6</f>
        <v>225</v>
      </c>
      <c r="F29" s="28"/>
      <c r="G29" s="31">
        <f>(D5-D12)^2/D12</f>
        <v>2.7777777777777777</v>
      </c>
      <c r="H29" s="28"/>
      <c r="J29" s="28" t="s">
        <v>28</v>
      </c>
      <c r="K29" s="55">
        <f>SQRT((X4*(1-X4))*D6)*1.95996</f>
        <v>14.6997</v>
      </c>
      <c r="L29" s="35" t="str">
        <f>IF((K28&gt;K29),"s","ns")</f>
        <v>s</v>
      </c>
      <c r="N29" s="67"/>
      <c r="O29" s="31">
        <f>(ABS(D5-D12)-0.5)^2/D12</f>
        <v>2.667777777777778</v>
      </c>
      <c r="P29" s="68"/>
      <c r="R29" s="28"/>
      <c r="S29" s="34">
        <f>IF(D5=0,0,2*D5*LN(D5/D12))</f>
        <v>52.68025782891318</v>
      </c>
      <c r="T29" s="28"/>
      <c r="V29" s="28" t="s">
        <v>68</v>
      </c>
      <c r="W29" s="43">
        <f>$J$2*SQRT((W4*W5+X11/4)/D6)/(1+X11)</f>
        <v>0.04211565920450127</v>
      </c>
      <c r="X29" s="42">
        <f>W4-X4</f>
        <v>-0.08333333333333334</v>
      </c>
      <c r="Z29" s="67"/>
      <c r="AA29" s="38"/>
      <c r="AB29" s="38"/>
      <c r="AC29" s="69">
        <f>W4-X4</f>
        <v>-0.08333333333333334</v>
      </c>
      <c r="AD29" s="63"/>
      <c r="AE29" s="28"/>
      <c r="AF29" s="28"/>
      <c r="AG29" s="28"/>
    </row>
    <row r="30" spans="4:33" ht="12.75">
      <c r="D30" s="36"/>
      <c r="F30" s="32" t="s">
        <v>7</v>
      </c>
      <c r="G30" s="33">
        <f>SUM(G28:H29)</f>
        <v>11.11111111111111</v>
      </c>
      <c r="H30" s="28"/>
      <c r="J30" s="28" t="s">
        <v>29</v>
      </c>
      <c r="K30" s="55">
        <f>SQRT((X4*(1-X4))*D6)*2.57583</f>
        <v>19.318725</v>
      </c>
      <c r="L30" s="35" t="str">
        <f>IF((K28&gt;K30),"s","ns")</f>
        <v>s</v>
      </c>
      <c r="N30" s="70" t="s">
        <v>7</v>
      </c>
      <c r="O30" s="33">
        <f>SUM(O28:P29)</f>
        <v>10.671111111111111</v>
      </c>
      <c r="P30" s="68"/>
      <c r="R30" s="32" t="s">
        <v>7</v>
      </c>
      <c r="S30" s="33">
        <f>SUM(S28:T29)</f>
        <v>12.133747018096734</v>
      </c>
      <c r="T30" s="28"/>
      <c r="V30" s="32" t="s">
        <v>41</v>
      </c>
      <c r="W30" s="47">
        <f>W28+W29</f>
        <v>0.21299664961268325</v>
      </c>
      <c r="X30" s="42">
        <f>W30-X4</f>
        <v>-0.03700335038731675</v>
      </c>
      <c r="Z30" s="70" t="s">
        <v>41</v>
      </c>
      <c r="AA30" s="47">
        <f>MAX(W4,MIN(AB30,1))</f>
        <v>0.21480618119022257</v>
      </c>
      <c r="AB30" s="61">
        <f>W28+($J$2*SQRT(AB11+AB12)+1)/AB10</f>
        <v>0.21480618119022257</v>
      </c>
      <c r="AC30" s="69">
        <f>AA30-X4</f>
        <v>-0.03519381880977743</v>
      </c>
      <c r="AE30" s="28" t="s">
        <v>74</v>
      </c>
      <c r="AF30" s="42">
        <f>IF(X4&lt;W4,1-BINOMDIST(D4-1,D6,X4,TRUE),BINOMDIST(D4,D6,X4,TRUE))</f>
        <v>0.0003400544732288948</v>
      </c>
      <c r="AG30" s="42"/>
    </row>
    <row r="31" spans="1:33" ht="12.75">
      <c r="A31" s="27" t="s">
        <v>20</v>
      </c>
      <c r="F31" s="28" t="s">
        <v>12</v>
      </c>
      <c r="G31" s="34">
        <f>CHIDIST(G30,1)</f>
        <v>0.000858120666393674</v>
      </c>
      <c r="H31" s="35" t="str">
        <f>IF((G31&lt;H2),"s","ns")</f>
        <v>s</v>
      </c>
      <c r="J31" s="28"/>
      <c r="K31" s="34"/>
      <c r="L31" s="35"/>
      <c r="N31" s="67" t="s">
        <v>12</v>
      </c>
      <c r="O31" s="37">
        <f>CHIDIST(O30,1)</f>
        <v>0.0010882173049342834</v>
      </c>
      <c r="P31" s="77" t="str">
        <f>IF((O31&lt;$H$2),"s","ns")</f>
        <v>s</v>
      </c>
      <c r="R31" s="28" t="s">
        <v>12</v>
      </c>
      <c r="S31" s="34">
        <f>CHIDIST(S30,1)</f>
        <v>0.0004951752688328738</v>
      </c>
      <c r="T31" s="35" t="str">
        <f>IF((S31&lt;$H$2),"s","ns")</f>
        <v>s</v>
      </c>
      <c r="V31" s="35" t="s">
        <v>42</v>
      </c>
      <c r="W31" s="48">
        <f>W28-W29</f>
        <v>0.1287653312036807</v>
      </c>
      <c r="X31" s="42">
        <f>W31-X4</f>
        <v>-0.1212346687963193</v>
      </c>
      <c r="Z31" s="70" t="s">
        <v>42</v>
      </c>
      <c r="AA31" s="48">
        <f>MIN(W4,MAX(AB31,0))</f>
        <v>0.12728513988639736</v>
      </c>
      <c r="AB31" s="61">
        <f>W28-($J$2*SQRT(AB11-AB12)+1)/AB10</f>
        <v>0.12728513988639736</v>
      </c>
      <c r="AC31" s="69">
        <f>AA31-X4</f>
        <v>-0.12271486011360264</v>
      </c>
      <c r="AE31" s="28" t="s">
        <v>75</v>
      </c>
      <c r="AF31" s="28" t="str">
        <f>IF(AF30&lt;0.025,"s+",IF(AF30&gt;0.925,"s-","ns"))</f>
        <v>s+</v>
      </c>
      <c r="AG31" s="28"/>
    </row>
    <row r="32" spans="1:33" ht="12.75">
      <c r="A32" s="27"/>
      <c r="F32" s="28" t="s">
        <v>135</v>
      </c>
      <c r="G32" s="42">
        <f>SQRT((G28*X4+G29*X5)/(2*D6))</f>
        <v>0.08333333333333333</v>
      </c>
      <c r="H32" s="28"/>
      <c r="J32" s="28"/>
      <c r="K32" s="34"/>
      <c r="L32" s="35"/>
      <c r="N32" s="67"/>
      <c r="O32" s="37"/>
      <c r="P32" s="77"/>
      <c r="R32" s="28"/>
      <c r="S32" s="34"/>
      <c r="T32" s="35"/>
      <c r="V32" s="28"/>
      <c r="W32" s="46" t="str">
        <f>IF($X4&gt;W30,"s+",IF($X4&lt;W31,"s-","ns"))</f>
        <v>s+</v>
      </c>
      <c r="X32" s="42"/>
      <c r="Z32" s="67"/>
      <c r="AA32" s="32" t="str">
        <f>IF($X4&gt;AB30,"s+",IF($X4&lt;AB31,"s-","ns"))</f>
        <v>s+</v>
      </c>
      <c r="AB32" s="38"/>
      <c r="AC32" s="68"/>
      <c r="AE32" s="28" t="s">
        <v>76</v>
      </c>
      <c r="AF32" s="28" t="str">
        <f>IF(AF30&lt;0.005,"s+",IF(AF30&gt;0.995,"s-","ns"))</f>
        <v>s+</v>
      </c>
      <c r="AG32" s="28"/>
    </row>
    <row r="33" spans="6:33" ht="12.75">
      <c r="F33" s="28"/>
      <c r="G33" s="28"/>
      <c r="H33" s="28"/>
      <c r="J33" s="28"/>
      <c r="K33" s="28"/>
      <c r="L33" s="28"/>
      <c r="N33" s="67"/>
      <c r="O33" s="38"/>
      <c r="P33" s="68"/>
      <c r="R33" s="28"/>
      <c r="S33" s="28"/>
      <c r="T33" s="28"/>
      <c r="V33" s="28"/>
      <c r="W33" s="28"/>
      <c r="X33" s="28"/>
      <c r="Z33" s="67"/>
      <c r="AA33" s="38"/>
      <c r="AB33" s="38"/>
      <c r="AC33" s="68"/>
      <c r="AE33" s="28"/>
      <c r="AF33" s="28"/>
      <c r="AG33" s="28"/>
    </row>
    <row r="34" spans="6:33" ht="12.75">
      <c r="F34" s="28" t="s">
        <v>24</v>
      </c>
      <c r="G34" s="28"/>
      <c r="H34" s="28"/>
      <c r="J34" s="28" t="s">
        <v>37</v>
      </c>
      <c r="K34" s="28"/>
      <c r="L34" s="28"/>
      <c r="N34" s="71" t="s">
        <v>64</v>
      </c>
      <c r="O34" s="72"/>
      <c r="P34" s="73"/>
      <c r="R34" s="28" t="s">
        <v>32</v>
      </c>
      <c r="S34" s="28"/>
      <c r="T34" s="28"/>
      <c r="V34" s="28" t="s">
        <v>65</v>
      </c>
      <c r="W34" s="28"/>
      <c r="X34" s="28"/>
      <c r="Z34" s="71" t="s">
        <v>64</v>
      </c>
      <c r="AA34" s="72"/>
      <c r="AB34" s="72"/>
      <c r="AC34" s="73"/>
      <c r="AE34" s="87" t="s">
        <v>78</v>
      </c>
      <c r="AF34" s="28"/>
      <c r="AG34" s="28"/>
    </row>
    <row r="35" spans="6:8" ht="12.75">
      <c r="F35" s="104"/>
      <c r="G35" s="104"/>
      <c r="H35" s="104"/>
    </row>
    <row r="36" spans="6:31" ht="12.75">
      <c r="F36" s="106"/>
      <c r="G36" s="107"/>
      <c r="H36" s="108"/>
      <c r="V36" t="s">
        <v>99</v>
      </c>
      <c r="W36" s="54"/>
      <c r="Z36" t="s">
        <v>102</v>
      </c>
      <c r="AA36" s="54"/>
      <c r="AE36" t="s">
        <v>90</v>
      </c>
    </row>
    <row r="37" spans="6:32" ht="12.75">
      <c r="F37" s="106"/>
      <c r="G37" s="109"/>
      <c r="H37" s="109"/>
      <c r="V37" t="s">
        <v>98</v>
      </c>
      <c r="W37" s="54">
        <f>W16</f>
        <v>-0.16666666666666666</v>
      </c>
      <c r="Z37" t="s">
        <v>98</v>
      </c>
      <c r="AA37" s="54">
        <f>AA16</f>
        <v>-0.16666666666666666</v>
      </c>
      <c r="AE37" t="s">
        <v>88</v>
      </c>
      <c r="AF37" t="s">
        <v>89</v>
      </c>
    </row>
    <row r="38" spans="2:32" ht="15">
      <c r="B38" s="1" t="s">
        <v>17</v>
      </c>
      <c r="F38" s="104"/>
      <c r="G38" s="104"/>
      <c r="H38" s="104"/>
      <c r="V38" t="s">
        <v>87</v>
      </c>
      <c r="W38" s="54">
        <f>W37-W14</f>
        <v>-0.23358824828739116</v>
      </c>
      <c r="Z38" t="s">
        <v>87</v>
      </c>
      <c r="AA38" s="54">
        <f>AA37-AA14</f>
        <v>-0.235836824519999</v>
      </c>
      <c r="AD38" t="s">
        <v>100</v>
      </c>
      <c r="AE38" s="54">
        <f>ABS(W15)</f>
        <v>0.06885738384266026</v>
      </c>
      <c r="AF38" s="54">
        <f>ABS(AA15)</f>
        <v>0.07124420408873876</v>
      </c>
    </row>
    <row r="39" spans="2:32" ht="12.75">
      <c r="B39" s="11" t="s">
        <v>16</v>
      </c>
      <c r="V39" t="s">
        <v>86</v>
      </c>
      <c r="W39" s="54">
        <f>W37-W15</f>
        <v>-0.0978092828240064</v>
      </c>
      <c r="Z39" t="s">
        <v>86</v>
      </c>
      <c r="AA39" s="54">
        <f>AA37-AA15</f>
        <v>-0.0954224625779279</v>
      </c>
      <c r="AD39" t="s">
        <v>101</v>
      </c>
      <c r="AE39" s="54">
        <f>ABS(W14)</f>
        <v>0.06692158162072452</v>
      </c>
      <c r="AF39" s="54">
        <f>ABS(AA14)</f>
        <v>0.06917015785333233</v>
      </c>
    </row>
    <row r="41" spans="2:26" ht="12.75">
      <c r="B41" t="s">
        <v>25</v>
      </c>
      <c r="V41" s="105" t="s">
        <v>125</v>
      </c>
      <c r="Z41" t="s">
        <v>114</v>
      </c>
    </row>
    <row r="42" ht="12.75">
      <c r="B42" t="s">
        <v>83</v>
      </c>
    </row>
    <row r="43" spans="22:28" ht="12.75">
      <c r="V43" t="s">
        <v>124</v>
      </c>
      <c r="W43" s="13" t="s">
        <v>2</v>
      </c>
      <c r="X43" s="103" t="s">
        <v>6</v>
      </c>
      <c r="AA43" s="54" t="str">
        <f>W43</f>
        <v>b</v>
      </c>
      <c r="AB43" s="54" t="str">
        <f>X43</f>
        <v>¬b</v>
      </c>
    </row>
    <row r="44" spans="2:28" ht="12.75">
      <c r="B44" t="s">
        <v>61</v>
      </c>
      <c r="V44" t="s">
        <v>120</v>
      </c>
      <c r="W44" s="54">
        <f>C4/E4</f>
        <v>0.6666666666666666</v>
      </c>
      <c r="X44" s="54">
        <f>C5/E5</f>
        <v>0.4444444444444444</v>
      </c>
      <c r="AA44" s="54">
        <f>W44</f>
        <v>0.6666666666666666</v>
      </c>
      <c r="AB44" s="54">
        <f>X44</f>
        <v>0.4444444444444444</v>
      </c>
    </row>
    <row r="45" spans="22:28" ht="12.75">
      <c r="V45" t="s">
        <v>118</v>
      </c>
      <c r="W45" s="54">
        <f>$J$2*$J$2/E4</f>
        <v>0.025609725471294156</v>
      </c>
      <c r="X45" s="54">
        <f>$J$2*$J$2/E5</f>
        <v>0.008536575157098053</v>
      </c>
      <c r="Z45" t="str">
        <f>Z10</f>
        <v>2(n+z²)</v>
      </c>
      <c r="AA45">
        <f>2*(E4+$J$2*$J$2)</f>
        <v>307.68291764138826</v>
      </c>
      <c r="AB45">
        <f>2*(E5+$J$2*$J$2)</f>
        <v>907.6829176413883</v>
      </c>
    </row>
    <row r="46" spans="2:28" ht="12.75">
      <c r="B46" t="s">
        <v>63</v>
      </c>
      <c r="V46" t="s">
        <v>39</v>
      </c>
      <c r="W46" s="54">
        <f>(W44+W45/2)/(1+W45)</f>
        <v>0.6625049592719872</v>
      </c>
      <c r="X46" s="54">
        <f>(X44+X45/2)/(1+X45)</f>
        <v>0.4449146843812761</v>
      </c>
      <c r="Z46" t="str">
        <f>Z11</f>
        <v>z²-1/n+4npq</v>
      </c>
      <c r="AA46">
        <f>$J$2*$J$2-1/E4+4*E4*AA44*(1-AA44)</f>
        <v>137.1681254873608</v>
      </c>
      <c r="AB46">
        <f>$J$2*$J$2-1/E5+4*E5*AB44*(1-AB44)</f>
        <v>448.2836810429164</v>
      </c>
    </row>
    <row r="47" spans="2:28" ht="12.75">
      <c r="B47" t="s">
        <v>47</v>
      </c>
      <c r="C47" t="s">
        <v>128</v>
      </c>
      <c r="V47" t="s">
        <v>68</v>
      </c>
      <c r="W47" s="54">
        <f>$J$2*SQRT((W44*(1-W44)+W45/4)/E4)/(1+W45)</f>
        <v>0.07460739240413672</v>
      </c>
      <c r="X47" s="54">
        <f>$J$2*SQRT((X44*(1-X44)+X45/4)/E5)/(1+X45)</f>
        <v>0.04571844704717957</v>
      </c>
      <c r="Z47" t="str">
        <f>Z12</f>
        <v>2-4p</v>
      </c>
      <c r="AA47">
        <f>2-4*AA44</f>
        <v>-0.6666666666666665</v>
      </c>
      <c r="AB47">
        <f>2-4*AB44</f>
        <v>0.22222222222222232</v>
      </c>
    </row>
    <row r="48" spans="3:28" ht="12.75">
      <c r="C48" t="s">
        <v>133</v>
      </c>
      <c r="V48" t="s">
        <v>109</v>
      </c>
      <c r="W48" s="54">
        <f>W46-W47</f>
        <v>0.5878975668678504</v>
      </c>
      <c r="X48" s="54">
        <f>X46-X47</f>
        <v>0.39919623733409654</v>
      </c>
      <c r="Z48" t="s">
        <v>109</v>
      </c>
      <c r="AA48" s="54">
        <f>MAX(0,MIN(W46,W46-($J$2*SQRT(AA46-AA47)+1)/AA45))</f>
        <v>0.5844682008100726</v>
      </c>
      <c r="AB48" s="54">
        <f>MAX(0,MIN(X46,X46-($J$2*SQRT(AB46-AB47)+1)/AB45))</f>
        <v>0.39810597744026543</v>
      </c>
    </row>
    <row r="49" spans="3:28" ht="12.75">
      <c r="C49" t="s">
        <v>129</v>
      </c>
      <c r="V49" t="s">
        <v>110</v>
      </c>
      <c r="W49" s="54">
        <f>W46+W47</f>
        <v>0.7371123516761239</v>
      </c>
      <c r="X49" s="54">
        <f>X46+X47</f>
        <v>0.4906331314284557</v>
      </c>
      <c r="Z49" t="s">
        <v>110</v>
      </c>
      <c r="AA49" s="54">
        <f>MIN(1,MAX(W46,W46+($J$2*SQRT(AA46+AA47)+1)/AA45))</f>
        <v>0.740179117460424</v>
      </c>
      <c r="AB49" s="54">
        <f>MIN(1,MAX(X46,X46+($J$2*SQRT(AB46+AB47)+1)/AB45))</f>
        <v>0.49174605471705124</v>
      </c>
    </row>
    <row r="50" spans="3:28" ht="12.75">
      <c r="C50" t="s">
        <v>138</v>
      </c>
      <c r="V50" t="s">
        <v>119</v>
      </c>
      <c r="W50" s="54">
        <f>-SQRT((W48-W44)^2+(X49-X44)^2)</f>
        <v>-0.09131246294139064</v>
      </c>
      <c r="X50" s="54">
        <f>SQRT((X48-X44)^2+(W49-W44)^2)</f>
        <v>0.08372571160135102</v>
      </c>
      <c r="AA50" s="54">
        <f>-SQRT((AA48-AA44)^2+(AB49-AB44)^2)</f>
        <v>-0.09483686057414198</v>
      </c>
      <c r="AB50" s="54">
        <f>SQRT((AB48-AB44)^2+(AA49-AA44)^2)</f>
        <v>0.0868984116425725</v>
      </c>
    </row>
    <row r="51" spans="3:24" ht="12.75">
      <c r="C51" t="s">
        <v>46</v>
      </c>
      <c r="W51" s="54"/>
      <c r="X51" s="54"/>
    </row>
    <row r="52" spans="2:27" ht="12.75">
      <c r="B52" t="s">
        <v>49</v>
      </c>
      <c r="C52" t="s">
        <v>62</v>
      </c>
      <c r="V52" t="s">
        <v>117</v>
      </c>
      <c r="W52" s="54">
        <f>X44-W44</f>
        <v>-0.2222222222222222</v>
      </c>
      <c r="X52" s="54"/>
      <c r="AA52" s="54">
        <f>AB44-AA44</f>
        <v>-0.2222222222222222</v>
      </c>
    </row>
    <row r="53" spans="2:27" ht="12.75">
      <c r="B53" t="s">
        <v>50</v>
      </c>
      <c r="C53" t="s">
        <v>130</v>
      </c>
      <c r="V53" t="s">
        <v>87</v>
      </c>
      <c r="W53" s="54">
        <f>W52-X50</f>
        <v>-0.3059479338235732</v>
      </c>
      <c r="X53" s="54"/>
      <c r="AA53" s="54">
        <f>AA52-AB50</f>
        <v>-0.3091206338647947</v>
      </c>
    </row>
    <row r="54" spans="22:27" ht="12.75">
      <c r="V54" t="s">
        <v>86</v>
      </c>
      <c r="W54" s="54">
        <f>W52-W50</f>
        <v>-0.13090975928083157</v>
      </c>
      <c r="X54" s="54"/>
      <c r="AA54" s="54">
        <f>AA52-AA50</f>
        <v>-0.12738536164808023</v>
      </c>
    </row>
    <row r="55" spans="2:27" ht="12.75">
      <c r="B55" t="s">
        <v>131</v>
      </c>
      <c r="W55" s="54"/>
      <c r="X55" s="54"/>
      <c r="AA55" s="54"/>
    </row>
    <row r="56" spans="2:27" ht="12.75">
      <c r="B56" t="s">
        <v>48</v>
      </c>
      <c r="C56" t="s">
        <v>146</v>
      </c>
      <c r="V56" s="100" t="s">
        <v>121</v>
      </c>
      <c r="W56" s="54">
        <f>IF(SIGN(W39)=SIGN(W54),-SIGN(W39)*SQRT(W39*W54),-(W39+W54)/2)</f>
        <v>0.1131555993750263</v>
      </c>
      <c r="X56" s="54"/>
      <c r="AA56" s="54">
        <f>IF(SIGN(AA39)=SIGN(AA54),-SIGN(AA39)*SQRT(AA39*AA54),-(AA39+AA54)/2)</f>
        <v>0.11025164354711338</v>
      </c>
    </row>
    <row r="57" spans="2:27" ht="12.75">
      <c r="B57" t="s">
        <v>55</v>
      </c>
      <c r="C57" t="s">
        <v>132</v>
      </c>
      <c r="V57" s="100" t="s">
        <v>122</v>
      </c>
      <c r="W57" s="54">
        <f>IF(SIGN(W38)=SIGN(W53),-SIGN(W38)*SQRT(W53*W38),-(W38+W53)/2)</f>
        <v>0.26733095954078184</v>
      </c>
      <c r="X57" s="54"/>
      <c r="AA57" s="54">
        <f>IF(SIGN(AA38)=SIGN(AA53),-SIGN(AA38)*SQRT(AA53*AA38),-(AA38+AA53)/2)</f>
        <v>0.2700037567966091</v>
      </c>
    </row>
    <row r="58" spans="2:3" ht="12.75">
      <c r="B58" t="s">
        <v>79</v>
      </c>
      <c r="C58" t="s">
        <v>82</v>
      </c>
    </row>
    <row r="59" spans="22:27" ht="12.75">
      <c r="V59" t="s">
        <v>36</v>
      </c>
      <c r="W59" s="54">
        <f>IF(V4=0,$AA$59,IF(V4=1,1-$AA$59,V4))</f>
        <v>0.3333333333333333</v>
      </c>
      <c r="X59" s="54">
        <f>IF(W4=0,$AA$59,IF(W4=1,1-$AA$59,W4))</f>
        <v>0.16666666666666666</v>
      </c>
      <c r="Z59" t="s">
        <v>134</v>
      </c>
      <c r="AA59">
        <v>1E-10</v>
      </c>
    </row>
    <row r="60" spans="2:28" ht="12.75">
      <c r="B60" t="s">
        <v>97</v>
      </c>
      <c r="V60" t="s">
        <v>109</v>
      </c>
      <c r="W60" s="54">
        <f>IF(W24=0,$AA$59,IF(W24=1,1-$AA$59,W24))</f>
        <v>0.2823934472922627</v>
      </c>
      <c r="X60" s="54">
        <f>IF(W31=0,$AA$59,IF(W31=1,1-$AA$59,W31))</f>
        <v>0.1287653312036807</v>
      </c>
      <c r="AA60" s="54">
        <f>IF(AA24=0,$AA$59,IF(AA24=1,1-$AA$59,AA24))</f>
        <v>0.2808135869737572</v>
      </c>
      <c r="AB60" s="54">
        <f>IF(AA31=0,$AA$59,IF(AA31=1,1-$AA$59,AA31))</f>
        <v>0.12728513988639736</v>
      </c>
    </row>
    <row r="61" spans="22:28" ht="12.75">
      <c r="V61" s="113" t="s">
        <v>110</v>
      </c>
      <c r="W61" s="54">
        <f>IF(W23=0,$AA$59,IF(W23=1,1-$AA$59,W23))</f>
        <v>0.38848754311591926</v>
      </c>
      <c r="X61" s="54">
        <f>IF(W30=0,$AA$59,IF(W30=1,1-$AA$59,W30))</f>
        <v>0.21299664961268325</v>
      </c>
      <c r="AA61" s="54">
        <f>IF(AA23=0,$AA$59,IF(AA23=1,1-$AA$59,AA23))</f>
        <v>0.39019813866940956</v>
      </c>
      <c r="AB61" s="54">
        <f>IF(AA30=0,$AA$59,IF(AA30=1,1-$AA$59,AA30))</f>
        <v>0.21480618119022257</v>
      </c>
    </row>
    <row r="62" spans="2:12" ht="12.75">
      <c r="B62" t="s">
        <v>66</v>
      </c>
      <c r="C62" t="s">
        <v>93</v>
      </c>
      <c r="L62" t="s">
        <v>96</v>
      </c>
    </row>
    <row r="63" spans="3:28" ht="12.75">
      <c r="C63" t="s">
        <v>94</v>
      </c>
      <c r="L63" t="s">
        <v>95</v>
      </c>
      <c r="V63" s="11" t="s">
        <v>104</v>
      </c>
      <c r="W63" s="11" t="s">
        <v>106</v>
      </c>
      <c r="X63" s="11" t="s">
        <v>107</v>
      </c>
      <c r="Z63" t="s">
        <v>114</v>
      </c>
      <c r="AA63" t="str">
        <f>W63</f>
        <v>p1</v>
      </c>
      <c r="AB63" t="str">
        <f>X63</f>
        <v>p2</v>
      </c>
    </row>
    <row r="64" spans="3:28" ht="12.75">
      <c r="C64" t="s">
        <v>92</v>
      </c>
      <c r="L64" t="s">
        <v>91</v>
      </c>
      <c r="V64" s="11"/>
      <c r="W64" s="11">
        <f aca="true" t="shared" si="0" ref="W64:X66">W59/(1-W59)</f>
        <v>0.4999999999999999</v>
      </c>
      <c r="X64" s="11">
        <f t="shared" si="0"/>
        <v>0.19999999999999998</v>
      </c>
      <c r="AA64">
        <f>W64</f>
        <v>0.4999999999999999</v>
      </c>
      <c r="AB64">
        <f>X64</f>
        <v>0.19999999999999998</v>
      </c>
    </row>
    <row r="65" spans="3:28" ht="12.75">
      <c r="C65" t="s">
        <v>127</v>
      </c>
      <c r="L65" t="s">
        <v>126</v>
      </c>
      <c r="V65" t="s">
        <v>109</v>
      </c>
      <c r="W65" s="54">
        <f t="shared" si="0"/>
        <v>0.3935212774001442</v>
      </c>
      <c r="X65" s="54">
        <f t="shared" si="0"/>
        <v>0.14779638117658972</v>
      </c>
      <c r="Y65" s="54"/>
      <c r="Z65" s="112">
        <f>X65</f>
        <v>0.14779638117658972</v>
      </c>
      <c r="AA65" s="54">
        <f>AA60/(1-AA60)</f>
        <v>0.3904600836271783</v>
      </c>
      <c r="AB65" s="54">
        <f>AB60/(1-AB60)</f>
        <v>0.1458496305079857</v>
      </c>
    </row>
    <row r="66" spans="22:28" ht="12.75">
      <c r="V66" t="s">
        <v>110</v>
      </c>
      <c r="W66" s="54">
        <f t="shared" si="0"/>
        <v>0.6352896637550616</v>
      </c>
      <c r="X66" s="54">
        <f t="shared" si="0"/>
        <v>0.27064262116274196</v>
      </c>
      <c r="Y66" s="54"/>
      <c r="Z66" s="54"/>
      <c r="AA66" s="54">
        <f>AA61/(1-AA61)</f>
        <v>0.6398769230024904</v>
      </c>
      <c r="AB66" s="54">
        <f>AB61/(1-AB61)</f>
        <v>0.27357090191544403</v>
      </c>
    </row>
    <row r="67" spans="23:27" ht="12.75">
      <c r="W67" s="54"/>
      <c r="X67" s="54"/>
      <c r="Y67" s="54"/>
      <c r="Z67" s="54"/>
      <c r="AA67" s="54"/>
    </row>
    <row r="68" spans="22:28" ht="12.75">
      <c r="V68" s="92" t="s">
        <v>105</v>
      </c>
      <c r="W68" s="93">
        <f aca="true" t="shared" si="1" ref="W68:X70">LN(W64)</f>
        <v>-0.6931471805599455</v>
      </c>
      <c r="X68" s="93">
        <f>LN(X64)</f>
        <v>-1.6094379124341005</v>
      </c>
      <c r="Y68" s="93"/>
      <c r="Z68" s="93"/>
      <c r="AA68" s="93">
        <f aca="true" t="shared" si="2" ref="AA68:AB70">LN(AA64)</f>
        <v>-0.6931471805599455</v>
      </c>
      <c r="AB68" s="92">
        <f t="shared" si="2"/>
        <v>-1.6094379124341005</v>
      </c>
    </row>
    <row r="69" spans="22:28" ht="12.75">
      <c r="V69" s="94" t="s">
        <v>109</v>
      </c>
      <c r="W69" s="93">
        <f t="shared" si="1"/>
        <v>-0.9326201404133518</v>
      </c>
      <c r="X69" s="93">
        <f>LN(X65)</f>
        <v>-1.9119197553646101</v>
      </c>
      <c r="Y69" s="95"/>
      <c r="Z69" s="95"/>
      <c r="AA69" s="93">
        <f t="shared" si="2"/>
        <v>-0.9404295335514593</v>
      </c>
      <c r="AB69" s="93">
        <f t="shared" si="2"/>
        <v>-1.9251791160416143</v>
      </c>
    </row>
    <row r="70" spans="22:29" ht="12.75">
      <c r="V70" s="95" t="s">
        <v>110</v>
      </c>
      <c r="W70" s="93">
        <f t="shared" si="1"/>
        <v>-0.4536742207065391</v>
      </c>
      <c r="X70" s="93">
        <f t="shared" si="1"/>
        <v>-1.3069560695035911</v>
      </c>
      <c r="Y70" s="95"/>
      <c r="Z70" s="95"/>
      <c r="AA70" s="93">
        <f t="shared" si="2"/>
        <v>-0.4464794289305458</v>
      </c>
      <c r="AB70" s="93">
        <f t="shared" si="2"/>
        <v>-1.2961944515378165</v>
      </c>
      <c r="AC70" s="54"/>
    </row>
    <row r="71" spans="22:28" ht="12.75">
      <c r="V71" s="95" t="s">
        <v>111</v>
      </c>
      <c r="W71" s="95">
        <f>SQRT((W68-W69)^2+(X68-X70)^2)</f>
        <v>0.3858011972552554</v>
      </c>
      <c r="X71" s="95">
        <f>SQRT((W68-W70)^2+(X68-X69)^2)</f>
        <v>0.38580119725525563</v>
      </c>
      <c r="Y71" s="95"/>
      <c r="Z71" s="95"/>
      <c r="AA71" s="95">
        <f>SQRT((AA68-AA69)^2+(AB68-AB70)^2)</f>
        <v>0.39908649174746746</v>
      </c>
      <c r="AB71" s="95">
        <f>SQRT((AA68-AA70)^2+(AB68-AB69)^2)</f>
        <v>0.4006712958890675</v>
      </c>
    </row>
    <row r="72" spans="22:28" ht="12.75">
      <c r="V72" s="95" t="s">
        <v>112</v>
      </c>
      <c r="W72" s="96">
        <f>W68-X68-W71</f>
        <v>0.5304895346188996</v>
      </c>
      <c r="X72" s="96"/>
      <c r="Y72" s="96"/>
      <c r="Z72" s="96"/>
      <c r="AA72" s="96">
        <f>AA68-AB68-AA71</f>
        <v>0.5172042401266875</v>
      </c>
      <c r="AB72" s="95"/>
    </row>
    <row r="73" spans="22:28" ht="12.75">
      <c r="V73" s="95" t="s">
        <v>113</v>
      </c>
      <c r="W73" s="96">
        <f>W68-X68+X71</f>
        <v>1.3020919291294106</v>
      </c>
      <c r="X73" s="96"/>
      <c r="Y73" s="96"/>
      <c r="Z73" s="96"/>
      <c r="AA73" s="96">
        <f>AA68-AB68+AB71</f>
        <v>1.3169620277632226</v>
      </c>
      <c r="AB73" s="95"/>
    </row>
    <row r="74" spans="23:27" ht="12.75">
      <c r="W74" s="54"/>
      <c r="X74" s="54"/>
      <c r="Y74" s="54"/>
      <c r="Z74" s="54"/>
      <c r="AA74" s="54"/>
    </row>
    <row r="75" spans="22:28" ht="12.75">
      <c r="V75" s="11" t="s">
        <v>108</v>
      </c>
      <c r="W75" s="90">
        <f>W64/X64</f>
        <v>2.4999999999999996</v>
      </c>
      <c r="X75" s="54"/>
      <c r="Y75" s="54"/>
      <c r="Z75" s="90"/>
      <c r="AA75" s="90">
        <f>AA64/AB64</f>
        <v>2.4999999999999996</v>
      </c>
      <c r="AB75" s="54"/>
    </row>
    <row r="76" spans="22:28" ht="12.75">
      <c r="V76" t="s">
        <v>115</v>
      </c>
      <c r="W76" s="97">
        <f>EXP(W72)</f>
        <v>1.6997641984015972</v>
      </c>
      <c r="X76" s="97"/>
      <c r="Y76" s="97"/>
      <c r="Z76" s="97"/>
      <c r="AA76" s="97">
        <f>EXP(AA72)</f>
        <v>1.6773316717621503</v>
      </c>
      <c r="AB76" s="98"/>
    </row>
    <row r="77" spans="22:27" ht="12.75">
      <c r="V77" t="s">
        <v>116</v>
      </c>
      <c r="W77" s="91">
        <f>EXP(W73)</f>
        <v>3.676980610532506</v>
      </c>
      <c r="X77" s="54"/>
      <c r="Y77" s="54"/>
      <c r="Z77" s="54"/>
      <c r="AA77" s="91">
        <f>EXP(AA73)</f>
        <v>3.7320662240995275</v>
      </c>
    </row>
    <row r="78" spans="23:27" ht="12.75">
      <c r="W78" t="str">
        <f>IF(OR(W76&gt;1,W77&lt;1),"s","ns")</f>
        <v>s</v>
      </c>
      <c r="AA78" t="str">
        <f>IF(OR(AA76&gt;1,AA77&lt;1),"s","ns")</f>
        <v>s</v>
      </c>
    </row>
    <row r="80" spans="22:29" ht="12.75">
      <c r="V80" t="s">
        <v>141</v>
      </c>
      <c r="W80" s="41">
        <f>V4</f>
        <v>0.3333333333333333</v>
      </c>
      <c r="X80" s="41">
        <f>W4</f>
        <v>0.16666666666666666</v>
      </c>
      <c r="Z80" s="114"/>
      <c r="AA80" s="115"/>
      <c r="AB80" s="115"/>
      <c r="AC80" s="114"/>
    </row>
    <row r="81" spans="22:29" ht="12.75">
      <c r="V81" t="s">
        <v>109</v>
      </c>
      <c r="W81" s="54">
        <f>W24</f>
        <v>0.2823934472922627</v>
      </c>
      <c r="X81" s="54">
        <f>W31</f>
        <v>0.1287653312036807</v>
      </c>
      <c r="Z81" s="114"/>
      <c r="AA81" s="115"/>
      <c r="AB81" s="115"/>
      <c r="AC81" s="114"/>
    </row>
    <row r="82" spans="22:29" ht="12.75">
      <c r="V82" t="s">
        <v>110</v>
      </c>
      <c r="W82" s="54">
        <f>W23</f>
        <v>0.38848754311591926</v>
      </c>
      <c r="X82" s="54">
        <f>W30</f>
        <v>0.21299664961268325</v>
      </c>
      <c r="Z82" s="114"/>
      <c r="AA82" s="115"/>
      <c r="AB82" s="115"/>
      <c r="AC82" s="114"/>
    </row>
    <row r="83" spans="26:29" ht="12.75">
      <c r="Z83" s="114"/>
      <c r="AA83" s="114"/>
      <c r="AB83" s="114"/>
      <c r="AC83" s="114"/>
    </row>
    <row r="84" spans="22:29" ht="12.75">
      <c r="V84" s="92" t="s">
        <v>105</v>
      </c>
      <c r="W84" s="93">
        <f aca="true" t="shared" si="3" ref="W84:X86">LN(W80)</f>
        <v>-1.0986122886681098</v>
      </c>
      <c r="X84" s="93">
        <f t="shared" si="3"/>
        <v>-1.791759469228055</v>
      </c>
      <c r="Z84" s="114"/>
      <c r="AA84" s="116"/>
      <c r="AB84" s="116"/>
      <c r="AC84" s="114"/>
    </row>
    <row r="85" spans="22:29" ht="12.75">
      <c r="V85" s="94" t="s">
        <v>109</v>
      </c>
      <c r="W85" s="93">
        <f t="shared" si="3"/>
        <v>-1.264453977271555</v>
      </c>
      <c r="X85" s="93">
        <f t="shared" si="3"/>
        <v>-2.0497636692172905</v>
      </c>
      <c r="Z85" s="114"/>
      <c r="AA85" s="116"/>
      <c r="AB85" s="116"/>
      <c r="AC85" s="114"/>
    </row>
    <row r="86" spans="22:29" ht="12.75">
      <c r="V86" s="95" t="s">
        <v>110</v>
      </c>
      <c r="W86" s="93">
        <f t="shared" si="3"/>
        <v>-0.9454941737401855</v>
      </c>
      <c r="X86" s="93">
        <f t="shared" si="3"/>
        <v>-1.5464788429143412</v>
      </c>
      <c r="Z86" s="114"/>
      <c r="AA86" s="116"/>
      <c r="AB86" s="116"/>
      <c r="AC86" s="114"/>
    </row>
    <row r="87" spans="22:29" ht="12.75">
      <c r="V87" s="95" t="s">
        <v>111</v>
      </c>
      <c r="W87" s="95">
        <f>SQRT((W84-W85)^2+(X84-X86)^2)</f>
        <v>0.2960845340839163</v>
      </c>
      <c r="X87" s="95">
        <f>SQRT((W84-W86)^2+(X84-X85)^2)</f>
        <v>0.30001887329160887</v>
      </c>
      <c r="Z87" s="114"/>
      <c r="AA87" s="117"/>
      <c r="AB87" s="117"/>
      <c r="AC87" s="114"/>
    </row>
    <row r="88" spans="22:29" ht="12.75">
      <c r="V88" s="95" t="s">
        <v>112</v>
      </c>
      <c r="W88" s="96">
        <f>W84-X84-W87</f>
        <v>0.3970626464760289</v>
      </c>
      <c r="X88" s="96"/>
      <c r="Z88" s="114"/>
      <c r="AA88" s="117"/>
      <c r="AB88" s="117"/>
      <c r="AC88" s="114"/>
    </row>
    <row r="89" spans="22:29" ht="12.75">
      <c r="V89" s="95" t="s">
        <v>113</v>
      </c>
      <c r="W89" s="96">
        <f>W84-X84+X87</f>
        <v>0.9931660538515541</v>
      </c>
      <c r="X89" s="96"/>
      <c r="Z89" s="114"/>
      <c r="AA89" s="117"/>
      <c r="AB89" s="117"/>
      <c r="AC89" s="114"/>
    </row>
    <row r="90" spans="26:29" ht="12.75">
      <c r="Z90" s="114"/>
      <c r="AA90" s="114"/>
      <c r="AB90" s="114"/>
      <c r="AC90" s="114"/>
    </row>
    <row r="91" spans="22:29" ht="12.75">
      <c r="V91" s="11" t="s">
        <v>140</v>
      </c>
      <c r="W91" s="90">
        <f>W80/X80</f>
        <v>2</v>
      </c>
      <c r="Z91" s="118"/>
      <c r="AA91" s="116"/>
      <c r="AB91" s="114"/>
      <c r="AC91" s="114"/>
    </row>
    <row r="92" spans="22:29" ht="12.75">
      <c r="V92" t="s">
        <v>115</v>
      </c>
      <c r="W92" s="97">
        <f>EXP(W88)</f>
        <v>1.4874491105776104</v>
      </c>
      <c r="Z92" s="114"/>
      <c r="AA92" s="117"/>
      <c r="AB92" s="114"/>
      <c r="AC92" s="114"/>
    </row>
    <row r="93" spans="22:29" ht="12.75">
      <c r="V93" t="s">
        <v>116</v>
      </c>
      <c r="W93" s="91">
        <f>EXP(W89)</f>
        <v>2.6997685681906427</v>
      </c>
      <c r="Z93" s="114"/>
      <c r="AA93" s="117"/>
      <c r="AB93" s="114"/>
      <c r="AC93" s="114"/>
    </row>
    <row r="94" spans="23:29" ht="12.75">
      <c r="W94" t="str">
        <f>IF(OR(W92&gt;1,W93&lt;1),"s","ns")</f>
        <v>s</v>
      </c>
      <c r="Z94" s="114"/>
      <c r="AA94" s="114"/>
      <c r="AB94" s="114"/>
      <c r="AC94" s="114"/>
    </row>
    <row r="95" spans="26:29" ht="12.75">
      <c r="Z95" s="114"/>
      <c r="AA95" s="114"/>
      <c r="AB95" s="114"/>
      <c r="AC95" s="114"/>
    </row>
    <row r="96" spans="22:29" ht="12.75">
      <c r="V96" t="s">
        <v>139</v>
      </c>
      <c r="W96">
        <f>1/W91-1</f>
        <v>-0.5</v>
      </c>
      <c r="Z96" s="114"/>
      <c r="AA96" s="114"/>
      <c r="AB96" s="114"/>
      <c r="AC96" s="114"/>
    </row>
    <row r="97" ht="12.75">
      <c r="W97">
        <f>1/W93-1</f>
        <v>-0.6295978804323255</v>
      </c>
    </row>
    <row r="98" ht="12.75">
      <c r="W98">
        <f>1/W92-1</f>
        <v>-0.3277080924054758</v>
      </c>
    </row>
  </sheetData>
  <sheetProtection/>
  <mergeCells count="2">
    <mergeCell ref="C2:D2"/>
    <mergeCell ref="A4:A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Wallis, Sean</cp:lastModifiedBy>
  <dcterms:created xsi:type="dcterms:W3CDTF">2008-08-21T05:56:43Z</dcterms:created>
  <dcterms:modified xsi:type="dcterms:W3CDTF">2024-01-29T18:43:26Z</dcterms:modified>
  <cp:category/>
  <cp:version/>
  <cp:contentType/>
  <cp:contentStatus/>
</cp:coreProperties>
</file>