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615" windowHeight="10830" activeTab="0"/>
  </bookViews>
  <sheets>
    <sheet name="Necombe-Wilson" sheetId="1" r:id="rId1"/>
    <sheet name="Goodness of fit" sheetId="2" r:id="rId2"/>
  </sheets>
  <definedNames/>
  <calcPr fullCalcOnLoad="1"/>
</workbook>
</file>

<file path=xl/sharedStrings.xml><?xml version="1.0" encoding="utf-8"?>
<sst xmlns="http://schemas.openxmlformats.org/spreadsheetml/2006/main" count="421" uniqueCount="96">
  <si>
    <t>2 x 2 chi-square</t>
  </si>
  <si>
    <t>data</t>
  </si>
  <si>
    <t>a</t>
  </si>
  <si>
    <t>¬a</t>
  </si>
  <si>
    <t>total</t>
  </si>
  <si>
    <t>b</t>
  </si>
  <si>
    <r>
      <t xml:space="preserve">¬ </t>
    </r>
    <r>
      <rPr>
        <b/>
        <sz val="10"/>
        <rFont val="Arial"/>
        <family val="0"/>
      </rPr>
      <t>Enter data in highlighted cells</t>
    </r>
  </si>
  <si>
    <t>¬b</t>
  </si>
  <si>
    <t>chi-squares</t>
  </si>
  <si>
    <t>1)</t>
  </si>
  <si>
    <t>2 x 2</t>
  </si>
  <si>
    <t>chi-square</t>
  </si>
  <si>
    <t>expected</t>
  </si>
  <si>
    <r>
      <t>c</t>
    </r>
    <r>
      <rPr>
        <b/>
        <sz val="10"/>
        <rFont val="Arial"/>
        <family val="2"/>
      </rPr>
      <t>²</t>
    </r>
  </si>
  <si>
    <t>sig level</t>
  </si>
  <si>
    <r>
      <t xml:space="preserve">Cramer's </t>
    </r>
    <r>
      <rPr>
        <sz val="10"/>
        <rFont val="Symbol"/>
        <family val="1"/>
      </rPr>
      <t>f</t>
    </r>
  </si>
  <si>
    <t>(signed)</t>
  </si>
  <si>
    <t>Gaussian</t>
  </si>
  <si>
    <t>Wilson</t>
  </si>
  <si>
    <t>g.o.f. chi-square</t>
  </si>
  <si>
    <t>(preferred)</t>
  </si>
  <si>
    <t>Wilson intervals</t>
  </si>
  <si>
    <t>TEST 1</t>
  </si>
  <si>
    <t>A</t>
  </si>
  <si>
    <t>E</t>
  </si>
  <si>
    <r>
      <t>c</t>
    </r>
    <r>
      <rPr>
        <sz val="10"/>
        <rFont val="Arial"/>
        <family val="0"/>
      </rPr>
      <t>²</t>
    </r>
  </si>
  <si>
    <t>p^</t>
  </si>
  <si>
    <t>z²/n</t>
  </si>
  <si>
    <t>p'</t>
  </si>
  <si>
    <t>z.s'</t>
  </si>
  <si>
    <t>w+</t>
  </si>
  <si>
    <t>w-</t>
  </si>
  <si>
    <t>e+</t>
  </si>
  <si>
    <t>e-</t>
  </si>
  <si>
    <t>p1</t>
  </si>
  <si>
    <t>e</t>
  </si>
  <si>
    <t>p^1</t>
  </si>
  <si>
    <t>p</t>
  </si>
  <si>
    <t>p1-p2</t>
  </si>
  <si>
    <t>diff 1</t>
  </si>
  <si>
    <t>c.i.</t>
  </si>
  <si>
    <t>significant?</t>
  </si>
  <si>
    <t>TEST 2</t>
  </si>
  <si>
    <t>p^2</t>
  </si>
  <si>
    <t>diff 2</t>
  </si>
  <si>
    <r>
      <t xml:space="preserve">¬ </t>
    </r>
    <r>
      <rPr>
        <b/>
        <sz val="10"/>
        <rFont val="Arial"/>
        <family val="2"/>
      </rPr>
      <t>Level the test is carried out at</t>
    </r>
  </si>
  <si>
    <t>z(crit)</t>
  </si>
  <si>
    <t>TESTS:</t>
  </si>
  <si>
    <t>diff D</t>
  </si>
  <si>
    <t>indep pop</t>
  </si>
  <si>
    <t xml:space="preserve">c.i. </t>
  </si>
  <si>
    <t>probabilities</t>
  </si>
  <si>
    <t>mean</t>
  </si>
  <si>
    <t>q</t>
  </si>
  <si>
    <t>For plotting</t>
  </si>
  <si>
    <t>d1</t>
  </si>
  <si>
    <t>d2</t>
  </si>
  <si>
    <t>D</t>
  </si>
  <si>
    <t>4)</t>
  </si>
  <si>
    <t>Newcombe-Wilson test</t>
  </si>
  <si>
    <t>z</t>
  </si>
  <si>
    <t>p(a)-p(¬a)</t>
  </si>
  <si>
    <t>e'</t>
  </si>
  <si>
    <t>upper</t>
  </si>
  <si>
    <t>lower</t>
  </si>
  <si>
    <t xml:space="preserve">Advanced different pop. z test </t>
  </si>
  <si>
    <t>B</t>
  </si>
  <si>
    <t>2 x 1 Goodness of fit</t>
  </si>
  <si>
    <t>p(a | b) - p(a)</t>
  </si>
  <si>
    <t>p(b | a) - p(b)</t>
  </si>
  <si>
    <t>p(b | ¬a) - p(b)</t>
  </si>
  <si>
    <t>p(¬a | b) - p(a)</t>
  </si>
  <si>
    <t>Tests if p(a | b) - p(a) != p(b | a) - p(b)</t>
  </si>
  <si>
    <t>Tests if p(¬a | b) - p(¬a) != p(b | ¬a) - p(b)</t>
  </si>
  <si>
    <t>Direction (¬a, b)</t>
  </si>
  <si>
    <t>Direction (a, b)</t>
  </si>
  <si>
    <t>p(¬b | a) - p(¬b)</t>
  </si>
  <si>
    <t>p(a | ¬b) - p(a)</t>
  </si>
  <si>
    <t>Tests if p(a | ¬b) - p(a) != p(¬b | a) - p(¬b)</t>
  </si>
  <si>
    <t>Direction (¬a, ¬b)</t>
  </si>
  <si>
    <t>Newcombe-Wilson</t>
  </si>
  <si>
    <t>chi-square for homogeneity</t>
  </si>
  <si>
    <t>same population</t>
  </si>
  <si>
    <t>independent population</t>
  </si>
  <si>
    <t>p2</t>
  </si>
  <si>
    <t>f</t>
  </si>
  <si>
    <t>Direction (A, B)</t>
  </si>
  <si>
    <t>Tests if p(a | b) - p(¬a | b) != p(b | a) - p(¬b | a)</t>
  </si>
  <si>
    <t>max</t>
  </si>
  <si>
    <t>D (max)</t>
  </si>
  <si>
    <t>D (Bienaymé)</t>
  </si>
  <si>
    <t>Bienaymé</t>
  </si>
  <si>
    <r>
      <t xml:space="preserve">See Wallis, S.A. 2017. </t>
    </r>
    <r>
      <rPr>
        <i/>
        <sz val="10"/>
        <rFont val="Arial"/>
        <family val="2"/>
      </rPr>
      <t>Detecting direction in interaction evidence</t>
    </r>
    <r>
      <rPr>
        <sz val="10"/>
        <rFont val="Arial"/>
        <family val="0"/>
      </rPr>
      <t xml:space="preserve">. London: Survey of English Usage </t>
    </r>
  </si>
  <si>
    <t>https://corplingstats.wordpress.com/2017/03/28/direction</t>
  </si>
  <si>
    <t>Association (A, B)</t>
  </si>
  <si>
    <t>Association (A. B)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</si>
</sst>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00"/>
    <numFmt numFmtId="165" formatCode="#,##0.0000000000000"/>
    <numFmt numFmtId="166" formatCode="0.0000"/>
    <numFmt numFmtId="167" formatCode="0.0"/>
  </numFmts>
  <fonts count="2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name val="Symbol"/>
      <family val="1"/>
    </font>
    <font>
      <i/>
      <sz val="10"/>
      <name val="Arial"/>
      <family val="2"/>
    </font>
    <font>
      <sz val="10"/>
      <name val="Symbol"/>
      <family val="1"/>
    </font>
    <font>
      <b/>
      <sz val="14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0"/>
    </font>
    <font>
      <b/>
      <i/>
      <sz val="10"/>
      <color indexed="16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0"/>
    </font>
    <font>
      <sz val="10"/>
      <color indexed="16"/>
      <name val="Symbol"/>
      <family val="1"/>
    </font>
    <font>
      <b/>
      <sz val="9.25"/>
      <color indexed="8"/>
      <name val="Arial"/>
      <family val="0"/>
    </font>
    <font>
      <sz val="9.25"/>
      <color indexed="8"/>
      <name val="Arial"/>
      <family val="0"/>
    </font>
    <font>
      <sz val="8.25"/>
      <name val="Arial"/>
      <family val="2"/>
    </font>
    <font>
      <sz val="8.75"/>
      <name val="Arial"/>
      <family val="2"/>
    </font>
    <font>
      <b/>
      <sz val="9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sz val="10"/>
      <color indexed="60"/>
      <name val="Symbol"/>
      <family val="1"/>
    </font>
    <font>
      <b/>
      <sz val="10"/>
      <color indexed="2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3" fontId="3" fillId="2" borderId="1" xfId="0" applyNumberFormat="1" applyFont="1" applyFill="1" applyBorder="1" applyAlignment="1">
      <alignment/>
    </xf>
    <xf numFmtId="3" fontId="3" fillId="2" borderId="2" xfId="0" applyNumberFormat="1" applyFont="1" applyFill="1" applyBorder="1" applyAlignment="1">
      <alignment/>
    </xf>
    <xf numFmtId="3" fontId="0" fillId="0" borderId="2" xfId="0" applyNumberFormat="1" applyBorder="1" applyAlignment="1">
      <alignment/>
    </xf>
    <xf numFmtId="0" fontId="4" fillId="0" borderId="0" xfId="0" applyFont="1" applyAlignment="1">
      <alignment/>
    </xf>
    <xf numFmtId="3" fontId="3" fillId="2" borderId="3" xfId="0" applyNumberFormat="1" applyFont="1" applyFill="1" applyBorder="1" applyAlignment="1">
      <alignment/>
    </xf>
    <xf numFmtId="3" fontId="3" fillId="2" borderId="4" xfId="0" applyNumberFormat="1" applyFont="1" applyFill="1" applyBorder="1" applyAlignment="1">
      <alignment/>
    </xf>
    <xf numFmtId="3" fontId="0" fillId="0" borderId="5" xfId="0" applyNumberFormat="1" applyBorder="1" applyAlignment="1">
      <alignment/>
    </xf>
    <xf numFmtId="0" fontId="3" fillId="0" borderId="0" xfId="0" applyFont="1" applyAlignment="1">
      <alignment horizontal="right"/>
    </xf>
    <xf numFmtId="3" fontId="0" fillId="0" borderId="3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4" xfId="0" applyNumberFormat="1" applyBorder="1" applyAlignment="1">
      <alignment/>
    </xf>
    <xf numFmtId="0" fontId="0" fillId="0" borderId="0" xfId="0" applyAlignment="1">
      <alignment horizontal="right"/>
    </xf>
    <xf numFmtId="3" fontId="0" fillId="0" borderId="0" xfId="0" applyNumberFormat="1" applyBorder="1" applyAlignment="1">
      <alignment/>
    </xf>
    <xf numFmtId="0" fontId="3" fillId="0" borderId="0" xfId="0" applyFont="1" applyAlignment="1">
      <alignment horizontal="left"/>
    </xf>
    <xf numFmtId="0" fontId="0" fillId="3" borderId="0" xfId="0" applyFill="1" applyAlignment="1">
      <alignment/>
    </xf>
    <xf numFmtId="0" fontId="4" fillId="3" borderId="0" xfId="0" applyFont="1" applyFill="1" applyBorder="1" applyAlignment="1">
      <alignment/>
    </xf>
    <xf numFmtId="0" fontId="3" fillId="3" borderId="0" xfId="0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2" fontId="0" fillId="3" borderId="0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164" fontId="0" fillId="0" borderId="0" xfId="0" applyNumberFormat="1" applyBorder="1" applyAlignment="1">
      <alignment/>
    </xf>
    <xf numFmtId="0" fontId="3" fillId="3" borderId="0" xfId="0" applyFont="1" applyFill="1" applyBorder="1" applyAlignment="1">
      <alignment/>
    </xf>
    <xf numFmtId="2" fontId="0" fillId="3" borderId="7" xfId="0" applyNumberFormat="1" applyFill="1" applyBorder="1" applyAlignment="1">
      <alignment/>
    </xf>
    <xf numFmtId="0" fontId="3" fillId="3" borderId="0" xfId="0" applyFont="1" applyFill="1" applyAlignment="1">
      <alignment/>
    </xf>
    <xf numFmtId="0" fontId="5" fillId="0" borderId="0" xfId="0" applyFont="1" applyAlignment="1">
      <alignment horizontal="left"/>
    </xf>
    <xf numFmtId="2" fontId="0" fillId="3" borderId="0" xfId="0" applyNumberFormat="1" applyFill="1" applyAlignment="1">
      <alignment/>
    </xf>
    <xf numFmtId="0" fontId="0" fillId="3" borderId="0" xfId="0" applyFont="1" applyFill="1" applyAlignment="1">
      <alignment horizontal="right"/>
    </xf>
    <xf numFmtId="0" fontId="7" fillId="0" borderId="0" xfId="0" applyFont="1" applyAlignment="1">
      <alignment/>
    </xf>
    <xf numFmtId="0" fontId="0" fillId="4" borderId="0" xfId="0" applyFill="1" applyAlignment="1">
      <alignment/>
    </xf>
    <xf numFmtId="0" fontId="8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5" fillId="4" borderId="0" xfId="0" applyFont="1" applyFill="1" applyAlignment="1">
      <alignment/>
    </xf>
    <xf numFmtId="166" fontId="0" fillId="4" borderId="0" xfId="0" applyNumberFormat="1" applyFill="1" applyAlignment="1">
      <alignment/>
    </xf>
    <xf numFmtId="166" fontId="0" fillId="0" borderId="0" xfId="0" applyNumberFormat="1" applyFill="1" applyAlignment="1">
      <alignment/>
    </xf>
    <xf numFmtId="166" fontId="0" fillId="0" borderId="0" xfId="0" applyNumberFormat="1" applyFont="1" applyFill="1" applyAlignment="1">
      <alignment/>
    </xf>
    <xf numFmtId="10" fontId="3" fillId="4" borderId="0" xfId="0" applyNumberFormat="1" applyFont="1" applyFill="1" applyAlignment="1">
      <alignment/>
    </xf>
    <xf numFmtId="2" fontId="3" fillId="4" borderId="0" xfId="0" applyNumberFormat="1" applyFont="1" applyFill="1" applyAlignment="1">
      <alignment/>
    </xf>
    <xf numFmtId="0" fontId="0" fillId="0" borderId="3" xfId="0" applyNumberFormat="1" applyFont="1" applyBorder="1" applyAlignment="1">
      <alignment/>
    </xf>
    <xf numFmtId="0" fontId="0" fillId="0" borderId="4" xfId="0" applyNumberFormat="1" applyFont="1" applyBorder="1" applyAlignment="1">
      <alignment/>
    </xf>
    <xf numFmtId="0" fontId="6" fillId="4" borderId="0" xfId="0" applyFont="1" applyFill="1" applyBorder="1" applyAlignment="1">
      <alignment/>
    </xf>
    <xf numFmtId="166" fontId="5" fillId="4" borderId="0" xfId="0" applyNumberFormat="1" applyFont="1" applyFill="1" applyAlignment="1">
      <alignment/>
    </xf>
    <xf numFmtId="0" fontId="0" fillId="0" borderId="0" xfId="0" applyFont="1" applyAlignment="1">
      <alignment/>
    </xf>
    <xf numFmtId="2" fontId="5" fillId="4" borderId="0" xfId="0" applyNumberFormat="1" applyFont="1" applyFill="1" applyAlignment="1">
      <alignment/>
    </xf>
    <xf numFmtId="166" fontId="3" fillId="4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66" fontId="3" fillId="0" borderId="0" xfId="0" applyNumberFormat="1" applyFont="1" applyFill="1" applyAlignment="1">
      <alignment/>
    </xf>
    <xf numFmtId="10" fontId="3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6" fillId="4" borderId="0" xfId="0" applyFont="1" applyFill="1" applyAlignment="1">
      <alignment/>
    </xf>
    <xf numFmtId="0" fontId="9" fillId="0" borderId="0" xfId="0" applyFont="1" applyFill="1" applyAlignment="1">
      <alignment/>
    </xf>
    <xf numFmtId="166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6" xfId="0" applyFont="1" applyBorder="1" applyAlignment="1">
      <alignment/>
    </xf>
    <xf numFmtId="0" fontId="0" fillId="0" borderId="3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4" xfId="0" applyNumberFormat="1" applyBorder="1" applyAlignment="1">
      <alignment/>
    </xf>
    <xf numFmtId="2" fontId="0" fillId="0" borderId="0" xfId="0" applyNumberFormat="1" applyFill="1" applyAlignment="1">
      <alignment/>
    </xf>
    <xf numFmtId="0" fontId="3" fillId="4" borderId="1" xfId="0" applyFont="1" applyFill="1" applyBorder="1" applyAlignment="1">
      <alignment/>
    </xf>
    <xf numFmtId="166" fontId="3" fillId="4" borderId="8" xfId="0" applyNumberFormat="1" applyFont="1" applyFill="1" applyBorder="1" applyAlignment="1">
      <alignment/>
    </xf>
    <xf numFmtId="10" fontId="3" fillId="4" borderId="8" xfId="0" applyNumberFormat="1" applyFont="1" applyFill="1" applyBorder="1" applyAlignment="1">
      <alignment/>
    </xf>
    <xf numFmtId="0" fontId="0" fillId="4" borderId="2" xfId="0" applyFill="1" applyBorder="1" applyAlignment="1">
      <alignment/>
    </xf>
    <xf numFmtId="0" fontId="3" fillId="0" borderId="1" xfId="0" applyFont="1" applyBorder="1" applyAlignment="1">
      <alignment/>
    </xf>
    <xf numFmtId="0" fontId="3" fillId="4" borderId="8" xfId="0" applyFont="1" applyFill="1" applyBorder="1" applyAlignment="1">
      <alignment/>
    </xf>
    <xf numFmtId="0" fontId="3" fillId="4" borderId="2" xfId="0" applyFont="1" applyFill="1" applyBorder="1" applyAlignment="1">
      <alignment/>
    </xf>
    <xf numFmtId="0" fontId="0" fillId="4" borderId="9" xfId="0" applyFont="1" applyFill="1" applyBorder="1" applyAlignment="1">
      <alignment/>
    </xf>
    <xf numFmtId="166" fontId="3" fillId="4" borderId="0" xfId="0" applyNumberFormat="1" applyFont="1" applyFill="1" applyBorder="1" applyAlignment="1">
      <alignment/>
    </xf>
    <xf numFmtId="10" fontId="3" fillId="4" borderId="0" xfId="0" applyNumberFormat="1" applyFont="1" applyFill="1" applyBorder="1" applyAlignment="1">
      <alignment/>
    </xf>
    <xf numFmtId="166" fontId="0" fillId="4" borderId="5" xfId="0" applyNumberFormat="1" applyFill="1" applyBorder="1" applyAlignment="1">
      <alignment/>
    </xf>
    <xf numFmtId="166" fontId="3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3" fillId="0" borderId="3" xfId="0" applyFont="1" applyBorder="1" applyAlignment="1">
      <alignment/>
    </xf>
    <xf numFmtId="0" fontId="3" fillId="4" borderId="6" xfId="0" applyFont="1" applyFill="1" applyBorder="1" applyAlignment="1">
      <alignment/>
    </xf>
    <xf numFmtId="166" fontId="3" fillId="4" borderId="6" xfId="0" applyNumberFormat="1" applyFont="1" applyFill="1" applyBorder="1" applyAlignment="1">
      <alignment/>
    </xf>
    <xf numFmtId="0" fontId="3" fillId="4" borderId="4" xfId="0" applyFont="1" applyFill="1" applyBorder="1" applyAlignment="1">
      <alignment/>
    </xf>
    <xf numFmtId="0" fontId="0" fillId="4" borderId="3" xfId="0" applyFill="1" applyBorder="1" applyAlignment="1">
      <alignment/>
    </xf>
    <xf numFmtId="0" fontId="0" fillId="4" borderId="6" xfId="0" applyFill="1" applyBorder="1" applyAlignment="1">
      <alignment/>
    </xf>
    <xf numFmtId="166" fontId="0" fillId="4" borderId="4" xfId="0" applyNumberFormat="1" applyFill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3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3" fontId="0" fillId="4" borderId="2" xfId="0" applyNumberFormat="1" applyFont="1" applyFill="1" applyBorder="1" applyAlignment="1">
      <alignment/>
    </xf>
    <xf numFmtId="3" fontId="0" fillId="4" borderId="5" xfId="0" applyNumberFormat="1" applyFont="1" applyFill="1" applyBorder="1" applyAlignment="1">
      <alignment/>
    </xf>
    <xf numFmtId="0" fontId="0" fillId="0" borderId="6" xfId="0" applyNumberFormat="1" applyFont="1" applyBorder="1" applyAlignment="1">
      <alignment/>
    </xf>
    <xf numFmtId="0" fontId="0" fillId="0" borderId="10" xfId="0" applyNumberFormat="1" applyFont="1" applyFill="1" applyBorder="1" applyAlignment="1">
      <alignment/>
    </xf>
    <xf numFmtId="166" fontId="0" fillId="3" borderId="0" xfId="0" applyNumberFormat="1" applyFill="1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166" fontId="0" fillId="3" borderId="0" xfId="0" applyNumberFormat="1" applyFont="1" applyFill="1" applyBorder="1" applyAlignment="1">
      <alignment/>
    </xf>
    <xf numFmtId="166" fontId="0" fillId="3" borderId="0" xfId="0" applyNumberFormat="1" applyFont="1" applyFill="1" applyBorder="1" applyAlignment="1">
      <alignment/>
    </xf>
    <xf numFmtId="166" fontId="0" fillId="3" borderId="7" xfId="0" applyNumberFormat="1" applyFont="1" applyFill="1" applyBorder="1" applyAlignment="1">
      <alignment/>
    </xf>
    <xf numFmtId="2" fontId="3" fillId="3" borderId="0" xfId="0" applyNumberFormat="1" applyFont="1" applyFill="1" applyBorder="1" applyAlignment="1">
      <alignment/>
    </xf>
    <xf numFmtId="166" fontId="0" fillId="3" borderId="8" xfId="0" applyNumberFormat="1" applyFill="1" applyBorder="1" applyAlignment="1">
      <alignment/>
    </xf>
    <xf numFmtId="166" fontId="0" fillId="3" borderId="6" xfId="0" applyNumberFormat="1" applyFill="1" applyBorder="1" applyAlignment="1">
      <alignment/>
    </xf>
    <xf numFmtId="2" fontId="3" fillId="3" borderId="0" xfId="0" applyNumberFormat="1" applyFont="1" applyFill="1" applyAlignment="1">
      <alignment/>
    </xf>
    <xf numFmtId="166" fontId="0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6" xfId="0" applyNumberFormat="1" applyFont="1" applyBorder="1" applyAlignment="1">
      <alignment/>
    </xf>
    <xf numFmtId="0" fontId="3" fillId="0" borderId="0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2" xfId="0" applyNumberFormat="1" applyFont="1" applyBorder="1" applyAlignment="1">
      <alignment/>
    </xf>
    <xf numFmtId="0" fontId="0" fillId="0" borderId="5" xfId="0" applyNumberFormat="1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Fill="1" applyBorder="1" applyAlignment="1">
      <alignment/>
    </xf>
    <xf numFmtId="2" fontId="21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3" fontId="23" fillId="2" borderId="1" xfId="0" applyNumberFormat="1" applyFont="1" applyFill="1" applyBorder="1" applyAlignment="1">
      <alignment/>
    </xf>
    <xf numFmtId="3" fontId="23" fillId="2" borderId="2" xfId="0" applyNumberFormat="1" applyFont="1" applyFill="1" applyBorder="1" applyAlignment="1">
      <alignment/>
    </xf>
    <xf numFmtId="3" fontId="23" fillId="2" borderId="3" xfId="0" applyNumberFormat="1" applyFont="1" applyFill="1" applyBorder="1" applyAlignment="1">
      <alignment/>
    </xf>
    <xf numFmtId="3" fontId="23" fillId="2" borderId="4" xfId="0" applyNumberFormat="1" applyFont="1" applyFill="1" applyBorder="1" applyAlignment="1">
      <alignment/>
    </xf>
    <xf numFmtId="3" fontId="23" fillId="2" borderId="9" xfId="0" applyNumberFormat="1" applyFont="1" applyFill="1" applyBorder="1" applyAlignment="1">
      <alignment/>
    </xf>
    <xf numFmtId="3" fontId="23" fillId="0" borderId="5" xfId="0" applyNumberFormat="1" applyFont="1" applyFill="1" applyBorder="1" applyAlignment="1">
      <alignment/>
    </xf>
    <xf numFmtId="3" fontId="23" fillId="0" borderId="4" xfId="0" applyNumberFormat="1" applyFont="1" applyFill="1" applyBorder="1" applyAlignment="1">
      <alignment/>
    </xf>
    <xf numFmtId="3" fontId="23" fillId="0" borderId="2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1" xfId="0" applyFill="1" applyBorder="1" applyAlignment="1">
      <alignment/>
    </xf>
    <xf numFmtId="166" fontId="0" fillId="4" borderId="2" xfId="0" applyNumberFormat="1" applyFill="1" applyBorder="1" applyAlignment="1">
      <alignment/>
    </xf>
    <xf numFmtId="166" fontId="0" fillId="4" borderId="9" xfId="0" applyNumberFormat="1" applyFill="1" applyBorder="1" applyAlignment="1">
      <alignment/>
    </xf>
    <xf numFmtId="166" fontId="0" fillId="4" borderId="0" xfId="0" applyNumberFormat="1" applyFill="1" applyBorder="1" applyAlignment="1">
      <alignment/>
    </xf>
    <xf numFmtId="0" fontId="0" fillId="4" borderId="5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0" xfId="0" applyBorder="1" applyAlignment="1">
      <alignment/>
    </xf>
    <xf numFmtId="0" fontId="0" fillId="0" borderId="5" xfId="0" applyFill="1" applyBorder="1" applyAlignment="1">
      <alignment/>
    </xf>
    <xf numFmtId="0" fontId="0" fillId="4" borderId="9" xfId="0" applyFill="1" applyBorder="1" applyAlignment="1">
      <alignment/>
    </xf>
    <xf numFmtId="166" fontId="0" fillId="4" borderId="3" xfId="0" applyNumberFormat="1" applyFill="1" applyBorder="1" applyAlignment="1">
      <alignment/>
    </xf>
    <xf numFmtId="166" fontId="0" fillId="4" borderId="6" xfId="0" applyNumberFormat="1" applyFill="1" applyBorder="1" applyAlignment="1">
      <alignment/>
    </xf>
    <xf numFmtId="0" fontId="0" fillId="4" borderId="4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Newcombe-Wilson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5"/>
          <c:w val="0.9315"/>
          <c:h val="0.85875"/>
        </c:manualLayout>
      </c:layout>
      <c:lineChart>
        <c:grouping val="standard"/>
        <c:varyColors val="0"/>
        <c:ser>
          <c:idx val="0"/>
          <c:order val="0"/>
          <c:tx>
            <c:v>Newcombe-Wilson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'Necombe-Wilson'!$X$39:$AA$39</c:f>
                <c:numCache>
                  <c:ptCount val="4"/>
                  <c:pt idx="0">
                    <c:v>0.08753927717000375</c:v>
                  </c:pt>
                  <c:pt idx="1">
                    <c:v>0.0528312815247307</c:v>
                  </c:pt>
                  <c:pt idx="2">
                    <c:v>0.10610107232568511</c:v>
                  </c:pt>
                  <c:pt idx="3">
                    <c:v>0.08753927717000375</c:v>
                  </c:pt>
                </c:numCache>
              </c:numRef>
            </c:plus>
            <c:minus>
              <c:numRef>
                <c:f>'Necombe-Wilson'!$X$40:$AA$40</c:f>
                <c:numCache>
                  <c:ptCount val="4"/>
                  <c:pt idx="0">
                    <c:v>0.0401483732231338</c:v>
                  </c:pt>
                  <c:pt idx="1">
                    <c:v>0.059952585442276995</c:v>
                  </c:pt>
                  <c:pt idx="2">
                    <c:v>0.06635537792831413</c:v>
                  </c:pt>
                  <c:pt idx="3">
                    <c:v>0.0528312815247307</c:v>
                  </c:pt>
                </c:numCache>
              </c:numRef>
            </c:minus>
            <c:noEndCap val="0"/>
            <c:spPr>
              <a:ln w="12700">
                <a:solidFill/>
              </a:ln>
            </c:spPr>
          </c:errBars>
          <c:cat>
            <c:strRef>
              <c:f>'Necombe-Wilson'!$X$34:$AA$34</c:f>
              <c:strCache/>
            </c:strRef>
          </c:cat>
          <c:val>
            <c:numRef>
              <c:f>'Necombe-Wilson'!$X$35:$AA$35</c:f>
              <c:numCache/>
            </c:numRef>
          </c:val>
          <c:smooth val="0"/>
        </c:ser>
        <c:marker val="1"/>
        <c:axId val="24542251"/>
        <c:axId val="19553668"/>
      </c:lineChart>
      <c:catAx>
        <c:axId val="24542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/>
          </a:ln>
        </c:spPr>
        <c:crossAx val="19553668"/>
        <c:crosses val="autoZero"/>
        <c:auto val="1"/>
        <c:lblOffset val="100"/>
        <c:noMultiLvlLbl val="0"/>
      </c:catAx>
      <c:valAx>
        <c:axId val="1955366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/>
          </a:ln>
        </c:spPr>
        <c:crossAx val="24542251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Goodness of fit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"/>
          <c:w val="0.93225"/>
          <c:h val="0.86025"/>
        </c:manualLayout>
      </c:layout>
      <c:lineChart>
        <c:grouping val="standard"/>
        <c:varyColors val="0"/>
        <c:ser>
          <c:idx val="0"/>
          <c:order val="0"/>
          <c:tx>
            <c:v>D(a, b)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'Goodness of fit'!$Z$40:$AB$40</c:f>
                <c:numCache>
                  <c:ptCount val="3"/>
                  <c:pt idx="0">
                    <c:v>0.08030423756459112</c:v>
                  </c:pt>
                  <c:pt idx="1">
                    <c:v>0.010698371061356848</c:v>
                  </c:pt>
                  <c:pt idx="2">
                    <c:v>0.08035905337610343</c:v>
                  </c:pt>
                </c:numCache>
              </c:numRef>
            </c:plus>
            <c:minus>
              <c:numRef>
                <c:f>'Goodness of fit'!$Z$41:$AB$41</c:f>
                <c:numCache>
                  <c:ptCount val="3"/>
                  <c:pt idx="0">
                    <c:v>0.02414399854332059</c:v>
                  </c:pt>
                  <c:pt idx="1">
                    <c:v>0.002967640253324264</c:v>
                  </c:pt>
                  <c:pt idx="2">
                    <c:v>0.026408101200698704</c:v>
                  </c:pt>
                </c:numCache>
              </c:numRef>
            </c:minus>
            <c:noEndCap val="0"/>
            <c:spPr>
              <a:ln w="12700">
                <a:solidFill/>
              </a:ln>
            </c:spPr>
          </c:errBars>
          <c:cat>
            <c:strRef>
              <c:f>'Goodness of fit'!$Z$35:$AB$35</c:f>
              <c:strCache/>
            </c:strRef>
          </c:cat>
          <c:val>
            <c:numRef>
              <c:f>'Goodness of fit'!$Z$36:$AB$36</c:f>
              <c:numCache/>
            </c:numRef>
          </c:val>
          <c:smooth val="0"/>
        </c:ser>
        <c:ser>
          <c:idx val="0"/>
          <c:order val="1"/>
          <c:tx>
            <c:v>D(a, ¬b)</c:v>
          </c:tx>
          <c:spPr>
            <a:ln w="12700">
              <a:solidFill>
                <a:srgbClr val="000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'Goodness of fit'!$Z$90:$AB$90</c:f>
                <c:numCache>
                  <c:ptCount val="3"/>
                  <c:pt idx="0">
                    <c:v>0.02414399854332061</c:v>
                  </c:pt>
                  <c:pt idx="1">
                    <c:v>0.05987909161418847</c:v>
                  </c:pt>
                  <c:pt idx="2">
                    <c:v>0.05709309791768827</c:v>
                  </c:pt>
                </c:numCache>
              </c:numRef>
            </c:plus>
            <c:minus>
              <c:numRef>
                <c:f>'Goodness of fit'!$Z$91:$AB$91</c:f>
                <c:numCache>
                  <c:ptCount val="3"/>
                  <c:pt idx="0">
                    <c:v>0.08030423756459115</c:v>
                  </c:pt>
                  <c:pt idx="1">
                    <c:v>0.051736729353321825</c:v>
                  </c:pt>
                  <c:pt idx="2">
                    <c:v>0.10017123431090719</c:v>
                  </c:pt>
                </c:numCache>
              </c:numRef>
            </c:minus>
            <c:noEndCap val="0"/>
            <c:spPr>
              <a:ln w="12700">
                <a:solidFill/>
              </a:ln>
            </c:spPr>
          </c:errBars>
          <c:cat>
            <c:strRef>
              <c:f>'Goodness of fit'!$Z$85:$AB$85</c:f>
              <c:strCache/>
            </c:strRef>
          </c:cat>
          <c:val>
            <c:numRef>
              <c:f>'Goodness of fit'!$Z$86:$AB$86</c:f>
              <c:numCache/>
            </c:numRef>
          </c:val>
          <c:smooth val="0"/>
        </c:ser>
        <c:ser>
          <c:idx val="0"/>
          <c:order val="2"/>
          <c:tx>
            <c:v>D(¬a, b)</c:v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'Goodness of fit'!$Z$65:$AB$65</c:f>
                <c:numCache>
                  <c:ptCount val="3"/>
                  <c:pt idx="0">
                    <c:v>0.03207739401516563</c:v>
                  </c:pt>
                  <c:pt idx="1">
                    <c:v>0.0029676402533242996</c:v>
                  </c:pt>
                  <c:pt idx="2">
                    <c:v>0.03381441039217838</c:v>
                  </c:pt>
                </c:numCache>
              </c:numRef>
            </c:plus>
            <c:minus>
              <c:numRef>
                <c:f>'Goodness of fit'!$Z$66:$AB$66</c:f>
                <c:numCache>
                  <c:ptCount val="3"/>
                  <c:pt idx="0">
                    <c:v>0.03484758925114406</c:v>
                  </c:pt>
                  <c:pt idx="1">
                    <c:v>0.010698371061356848</c:v>
                  </c:pt>
                  <c:pt idx="2">
                    <c:v>0.034973723926536644</c:v>
                  </c:pt>
                </c:numCache>
              </c:numRef>
            </c:minus>
            <c:noEndCap val="0"/>
            <c:spPr>
              <a:ln w="12700">
                <a:solidFill/>
              </a:ln>
            </c:spPr>
          </c:errBars>
          <c:cat>
            <c:strRef>
              <c:f>'Goodness of fit'!$Z$60:$AB$60</c:f>
              <c:strCache/>
            </c:strRef>
          </c:cat>
          <c:val>
            <c:numRef>
              <c:f>'Goodness of fit'!$Z$61:$AB$61</c:f>
              <c:numCache/>
            </c:numRef>
          </c:val>
          <c:smooth val="0"/>
        </c:ser>
        <c:ser>
          <c:idx val="0"/>
          <c:order val="3"/>
          <c:tx>
            <c:v>D(¬a, ¬b)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'Goodness of fit'!$Z$115:$AB$115</c:f>
                <c:numCache>
                  <c:ptCount val="3"/>
                  <c:pt idx="0">
                    <c:v>0.03484758925114406</c:v>
                  </c:pt>
                  <c:pt idx="1">
                    <c:v>0.05173672935332174</c:v>
                  </c:pt>
                  <c:pt idx="2">
                    <c:v>0.06928102257586004</c:v>
                  </c:pt>
                </c:numCache>
              </c:numRef>
            </c:plus>
            <c:minus>
              <c:numRef>
                <c:f>'Goodness of fit'!$Z$116:$AB$116</c:f>
                <c:numCache>
                  <c:ptCount val="3"/>
                  <c:pt idx="0">
                    <c:v>0.0320773940151656</c:v>
                  </c:pt>
                  <c:pt idx="1">
                    <c:v>0.05987909161418847</c:v>
                  </c:pt>
                  <c:pt idx="2">
                    <c:v>0.0608740369203739</c:v>
                  </c:pt>
                </c:numCache>
              </c:numRef>
            </c:minus>
            <c:noEndCap val="0"/>
            <c:spPr>
              <a:ln w="12700">
                <a:solidFill/>
              </a:ln>
            </c:spPr>
          </c:errBars>
          <c:cat>
            <c:strRef>
              <c:f>'Goodness of fit'!$Z$110:$AB$110</c:f>
              <c:strCache/>
            </c:strRef>
          </c:cat>
          <c:val>
            <c:numRef>
              <c:f>'Goodness of fit'!$Z$111:$AB$111</c:f>
              <c:numCache/>
            </c:numRef>
          </c:val>
          <c:smooth val="0"/>
        </c:ser>
        <c:marker val="1"/>
        <c:axId val="41765285"/>
        <c:axId val="40343246"/>
      </c:lineChart>
      <c:catAx>
        <c:axId val="41765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/>
          </a:ln>
        </c:spPr>
        <c:crossAx val="40343246"/>
        <c:crosses val="autoZero"/>
        <c:auto val="1"/>
        <c:lblOffset val="100"/>
        <c:noMultiLvlLbl val="0"/>
      </c:catAx>
      <c:valAx>
        <c:axId val="4034324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/>
          </a:ln>
        </c:spPr>
        <c:crossAx val="41765285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Association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05075"/>
          <c:w val="0.95425"/>
          <c:h val="0.949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'Goodness of fit'!$AH$5:$AI$5</c:f>
                <c:numCache>
                  <c:ptCount val="2"/>
                  <c:pt idx="0">
                    <c:v>0.08030423756459112</c:v>
                  </c:pt>
                  <c:pt idx="1">
                    <c:v>0.03207739401516563</c:v>
                  </c:pt>
                </c:numCache>
              </c:numRef>
            </c:plus>
            <c:minus>
              <c:numRef>
                <c:f>'Goodness of fit'!$AH$6:$AI$6</c:f>
                <c:numCache>
                  <c:ptCount val="2"/>
                  <c:pt idx="0">
                    <c:v>0.02414399854332059</c:v>
                  </c:pt>
                  <c:pt idx="1">
                    <c:v>0.03484758925114406</c:v>
                  </c:pt>
                </c:numCache>
              </c:numRef>
            </c:minus>
            <c:noEndCap val="0"/>
          </c:errBars>
          <c:cat>
            <c:strRef>
              <c:f>'Goodness of fit'!$AD$4:$AE$4</c:f>
              <c:strCache/>
            </c:strRef>
          </c:cat>
          <c:val>
            <c:numRef>
              <c:f>'Goodness of fit'!$AD$5:$AE$5</c:f>
              <c:numCache/>
            </c:numRef>
          </c:val>
          <c:smooth val="0"/>
        </c:ser>
        <c:marker val="1"/>
        <c:axId val="27544895"/>
        <c:axId val="46577464"/>
      </c:lineChart>
      <c:catAx>
        <c:axId val="27544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577464"/>
        <c:crosses val="autoZero"/>
        <c:auto val="1"/>
        <c:lblOffset val="100"/>
        <c:noMultiLvlLbl val="0"/>
      </c:catAx>
      <c:valAx>
        <c:axId val="4657746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p(b)</a:t>
                </a:r>
              </a:p>
            </c:rich>
          </c:tx>
          <c:layout>
            <c:manualLayout>
              <c:xMode val="factor"/>
              <c:yMode val="factor"/>
              <c:x val="0.05625"/>
              <c:y val="0.1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7544895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523875</xdr:colOff>
      <xdr:row>0</xdr:row>
      <xdr:rowOff>133350</xdr:rowOff>
    </xdr:from>
    <xdr:to>
      <xdr:col>15</xdr:col>
      <xdr:colOff>171450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6010275" y="133350"/>
        <a:ext cx="33718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</xdr:colOff>
      <xdr:row>0</xdr:row>
      <xdr:rowOff>76200</xdr:rowOff>
    </xdr:from>
    <xdr:to>
      <xdr:col>19</xdr:col>
      <xdr:colOff>323850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8658225" y="76200"/>
        <a:ext cx="343852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342900</xdr:colOff>
      <xdr:row>0</xdr:row>
      <xdr:rowOff>57150</xdr:rowOff>
    </xdr:from>
    <xdr:to>
      <xdr:col>13</xdr:col>
      <xdr:colOff>485775</xdr:colOff>
      <xdr:row>17</xdr:row>
      <xdr:rowOff>47625</xdr:rowOff>
    </xdr:to>
    <xdr:graphicFrame>
      <xdr:nvGraphicFramePr>
        <xdr:cNvPr id="2" name="Chart 2"/>
        <xdr:cNvGraphicFramePr/>
      </xdr:nvGraphicFramePr>
      <xdr:xfrm>
        <a:off x="5886450" y="57150"/>
        <a:ext cx="2581275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5"/>
  <sheetViews>
    <sheetView tabSelected="1" workbookViewId="0" topLeftCell="A1">
      <selection activeCell="C5" sqref="C5"/>
    </sheetView>
  </sheetViews>
  <sheetFormatPr defaultColWidth="9.140625" defaultRowHeight="12.75"/>
  <cols>
    <col min="14" max="14" width="10.140625" style="0" bestFit="1" customWidth="1"/>
    <col min="19" max="19" width="10.140625" style="0" bestFit="1" customWidth="1"/>
  </cols>
  <sheetData>
    <row r="1" ht="18">
      <c r="A1" s="36" t="s">
        <v>94</v>
      </c>
    </row>
    <row r="2" ht="15.75">
      <c r="A2" s="1" t="s">
        <v>0</v>
      </c>
    </row>
    <row r="3" spans="1:25" ht="15">
      <c r="A3" s="2" t="s">
        <v>1</v>
      </c>
      <c r="C3" s="151" t="s">
        <v>23</v>
      </c>
      <c r="D3" s="151"/>
      <c r="R3" t="s">
        <v>51</v>
      </c>
      <c r="Y3" t="s">
        <v>58</v>
      </c>
    </row>
    <row r="4" spans="3:27" ht="12.75">
      <c r="C4" s="4" t="s">
        <v>2</v>
      </c>
      <c r="D4" s="4" t="s">
        <v>3</v>
      </c>
      <c r="E4" s="5" t="s">
        <v>4</v>
      </c>
      <c r="R4" s="4" t="str">
        <f>C4</f>
        <v>a</v>
      </c>
      <c r="S4" s="4" t="str">
        <f>D4</f>
        <v>¬a</v>
      </c>
      <c r="T4" t="s">
        <v>52</v>
      </c>
      <c r="Y4" s="21" t="s">
        <v>59</v>
      </c>
      <c r="Z4" s="21"/>
      <c r="AA4" s="21"/>
    </row>
    <row r="5" spans="1:27" ht="12.75">
      <c r="A5" s="152" t="s">
        <v>66</v>
      </c>
      <c r="B5" s="6" t="s">
        <v>5</v>
      </c>
      <c r="C5" s="7">
        <v>2</v>
      </c>
      <c r="D5" s="8">
        <v>487</v>
      </c>
      <c r="E5" s="9">
        <f>SUM(C5:D5)</f>
        <v>489</v>
      </c>
      <c r="G5" s="10" t="s">
        <v>6</v>
      </c>
      <c r="Q5" s="18" t="s">
        <v>37</v>
      </c>
      <c r="R5" s="107">
        <f>C5/C7</f>
        <v>0.03333333333333333</v>
      </c>
      <c r="S5" s="108">
        <f>D5/D7</f>
        <v>0.7389984825493171</v>
      </c>
      <c r="T5" s="46">
        <f>E5/E7</f>
        <v>0.6801112656467315</v>
      </c>
      <c r="V5" s="45">
        <f>Z16-R5</f>
        <v>0.08030423756459112</v>
      </c>
      <c r="W5" s="45">
        <f>Z23-S5</f>
        <v>0.03207739401516563</v>
      </c>
      <c r="Y5" s="21" t="s">
        <v>60</v>
      </c>
      <c r="Z5" s="34">
        <v>0.05</v>
      </c>
      <c r="AA5" s="34">
        <f>NORMSINV(1-(Z5/2))</f>
        <v>1.9599610823206604</v>
      </c>
    </row>
    <row r="6" spans="1:27" ht="12.75">
      <c r="A6" s="152"/>
      <c r="B6" s="6" t="s">
        <v>7</v>
      </c>
      <c r="C6" s="11">
        <v>58</v>
      </c>
      <c r="D6" s="12">
        <v>172</v>
      </c>
      <c r="E6" s="13">
        <f>SUM(C6:D6)</f>
        <v>230</v>
      </c>
      <c r="Q6" s="18" t="s">
        <v>53</v>
      </c>
      <c r="R6" s="109">
        <f>1-R5</f>
        <v>0.9666666666666667</v>
      </c>
      <c r="S6" s="110">
        <f>1-S5</f>
        <v>0.2610015174506829</v>
      </c>
      <c r="T6" s="46">
        <f>1-T5</f>
        <v>0.3198887343532685</v>
      </c>
      <c r="V6" s="45">
        <f>R5-Z17</f>
        <v>0.02414399854332059</v>
      </c>
      <c r="W6" s="45">
        <f>S5-Z24</f>
        <v>0.03484758925114406</v>
      </c>
      <c r="Y6" s="21" t="s">
        <v>27</v>
      </c>
      <c r="Z6" s="21">
        <f>$AA$5*$AA$5/C7</f>
        <v>0.06402412407019291</v>
      </c>
      <c r="AA6" s="21">
        <f>$AA$5*$AA$5/D7</f>
        <v>0.005829207047362024</v>
      </c>
    </row>
    <row r="7" spans="2:28" ht="12.75">
      <c r="B7" s="14" t="s">
        <v>4</v>
      </c>
      <c r="C7" s="15">
        <f>SUM(C5:C6)</f>
        <v>60</v>
      </c>
      <c r="D7" s="16">
        <f>SUM(D5:D6)</f>
        <v>659</v>
      </c>
      <c r="E7" s="17">
        <f>SUM(E5:E6)</f>
        <v>719</v>
      </c>
      <c r="Y7" s="21"/>
      <c r="Z7" s="26"/>
      <c r="AA7" s="21"/>
      <c r="AB7" s="97"/>
    </row>
    <row r="8" spans="2:28" ht="12.75">
      <c r="B8" s="18"/>
      <c r="C8" s="19"/>
      <c r="D8" s="19"/>
      <c r="E8" s="19"/>
      <c r="X8" s="45"/>
      <c r="Y8" s="21"/>
      <c r="Z8" s="21"/>
      <c r="AA8" s="21"/>
      <c r="AB8" s="97"/>
    </row>
    <row r="9" spans="1:28" ht="15">
      <c r="A9" s="2" t="s">
        <v>8</v>
      </c>
      <c r="G9" t="s">
        <v>9</v>
      </c>
      <c r="Y9" s="21" t="s">
        <v>30</v>
      </c>
      <c r="Z9" s="116">
        <f>AA5*SQRT(Z17*(1-Z17)/C7+Z23*(1-Z23)/D7)</f>
        <v>0.0401483732231338</v>
      </c>
      <c r="AA9" s="117">
        <f>Z11-Z9</f>
        <v>-0.7458135224391176</v>
      </c>
      <c r="AB9" s="97"/>
    </row>
    <row r="10" spans="1:28" ht="12.75">
      <c r="A10" s="20" t="s">
        <v>10</v>
      </c>
      <c r="G10" s="21" t="s">
        <v>11</v>
      </c>
      <c r="H10" s="21"/>
      <c r="I10" s="21"/>
      <c r="Y10" s="21" t="s">
        <v>31</v>
      </c>
      <c r="Z10" s="116">
        <f>-AA5*SQRT(Z16*(1-Z16)/C7+Z24*(1-Z24)/D7)</f>
        <v>-0.08753927717000375</v>
      </c>
      <c r="AA10" s="106">
        <f>Z11-Z10</f>
        <v>-0.61812587204598</v>
      </c>
      <c r="AB10" s="97"/>
    </row>
    <row r="11" spans="1:28" ht="12.75">
      <c r="A11" s="3"/>
      <c r="B11" t="s">
        <v>12</v>
      </c>
      <c r="C11" s="4" t="str">
        <f>$C$4</f>
        <v>a</v>
      </c>
      <c r="D11" s="4" t="str">
        <f>$D$4</f>
        <v>¬a</v>
      </c>
      <c r="G11" s="22" t="s">
        <v>13</v>
      </c>
      <c r="H11" s="23" t="str">
        <f>$C$4</f>
        <v>a</v>
      </c>
      <c r="I11" s="23" t="str">
        <f>$D$4</f>
        <v>¬a</v>
      </c>
      <c r="Y11" s="21" t="s">
        <v>61</v>
      </c>
      <c r="Z11" s="118">
        <f>R5-S5</f>
        <v>-0.7056651492159838</v>
      </c>
      <c r="AA11" s="119" t="str">
        <f>IF(Z11&gt;Z9,"s+",IF(Z11&lt;Z10,"s-","ns"))</f>
        <v>s-</v>
      </c>
      <c r="AB11" s="99"/>
    </row>
    <row r="12" spans="1:28" ht="12.75">
      <c r="A12" s="3"/>
      <c r="B12" s="6" t="str">
        <f>$B$5</f>
        <v>b</v>
      </c>
      <c r="C12" s="24">
        <f>$E5*C$7/$E$7</f>
        <v>40.80667593880389</v>
      </c>
      <c r="D12" s="25">
        <f>$E5*D$7/$E$7</f>
        <v>448.1933240611961</v>
      </c>
      <c r="G12" s="21"/>
      <c r="H12" s="26">
        <f>(C5-C12)^2/C12</f>
        <v>36.904699115354674</v>
      </c>
      <c r="I12" s="26">
        <f>(D5-D12)^2/D12</f>
        <v>3.3600636523843406</v>
      </c>
      <c r="Y12" s="21"/>
      <c r="Z12" s="21"/>
      <c r="AA12" s="21"/>
      <c r="AB12" s="99"/>
    </row>
    <row r="13" spans="1:28" ht="12.75">
      <c r="A13" s="3"/>
      <c r="B13" s="6" t="str">
        <f>$B$6</f>
        <v>¬b</v>
      </c>
      <c r="C13" s="27">
        <f>$E6*C$7/$E$7</f>
        <v>19.193324061196105</v>
      </c>
      <c r="D13" s="28">
        <f>$E6*D$7/$E$7</f>
        <v>210.8066759388039</v>
      </c>
      <c r="G13" s="21"/>
      <c r="H13" s="26">
        <f>(C6-C13)^2/C13</f>
        <v>78.46259942351494</v>
      </c>
      <c r="I13" s="26">
        <f>(D6-D13)^2/D13</f>
        <v>7.1437875044171415</v>
      </c>
      <c r="Y13" s="21" t="s">
        <v>18</v>
      </c>
      <c r="Z13" s="23" t="str">
        <f>$C$4</f>
        <v>a</v>
      </c>
      <c r="AA13" s="21"/>
      <c r="AB13" s="99"/>
    </row>
    <row r="14" spans="1:28" ht="12.75">
      <c r="A14" s="3"/>
      <c r="C14" s="29"/>
      <c r="D14" s="29"/>
      <c r="G14" s="30" t="s">
        <v>4</v>
      </c>
      <c r="H14" s="31">
        <f>SUM(H12:I13)</f>
        <v>125.87114969567111</v>
      </c>
      <c r="I14" s="32"/>
      <c r="Y14" s="21" t="s">
        <v>28</v>
      </c>
      <c r="Z14" s="117">
        <f>(R5+Z6/2)/(1+Z6)</f>
        <v>0.061413452843968604</v>
      </c>
      <c r="AA14" s="21"/>
      <c r="AB14" s="97"/>
    </row>
    <row r="15" spans="1:28" ht="12.75">
      <c r="A15" s="33"/>
      <c r="G15" s="21" t="s">
        <v>14</v>
      </c>
      <c r="H15" s="34">
        <f>CHIDIST(H14,1)</f>
        <v>3.2811022546820924E-29</v>
      </c>
      <c r="I15" s="32" t="str">
        <f>IF((H15&lt;0.05),"s","ns")</f>
        <v>s</v>
      </c>
      <c r="Y15" s="21" t="s">
        <v>62</v>
      </c>
      <c r="Z15" s="106">
        <f>$AA$5*SQRT((R5*R6+Z6/4)/C7)/(1+Z6)</f>
        <v>0.05222411805395586</v>
      </c>
      <c r="AA15" s="21"/>
      <c r="AB15" s="123"/>
    </row>
    <row r="16" spans="7:28" ht="12.75">
      <c r="G16" s="21" t="s">
        <v>15</v>
      </c>
      <c r="H16" s="34">
        <f>(C5*D6-C6*D5)/SQRT(E5*E6*C7*D7)</f>
        <v>-0.41840672311363664</v>
      </c>
      <c r="I16" s="35" t="s">
        <v>16</v>
      </c>
      <c r="Y16" s="30" t="s">
        <v>63</v>
      </c>
      <c r="Z16" s="120">
        <f>Z14+Z15</f>
        <v>0.11363757089792446</v>
      </c>
      <c r="AA16" s="21"/>
      <c r="AB16" s="99"/>
    </row>
    <row r="17" spans="1:28" ht="12.75">
      <c r="A17" s="41" t="s">
        <v>37</v>
      </c>
      <c r="B17" s="60">
        <v>0.05</v>
      </c>
      <c r="C17" s="63" t="s">
        <v>45</v>
      </c>
      <c r="G17" s="21"/>
      <c r="H17" s="34"/>
      <c r="I17" s="35"/>
      <c r="Y17" s="32" t="s">
        <v>64</v>
      </c>
      <c r="Z17" s="121">
        <f>Z14-Z15</f>
        <v>0.009189334790012743</v>
      </c>
      <c r="AA17" s="122" t="str">
        <f>IF($T5&gt;Z16,"s+",IF($T5&lt;Z17,"s-","ns"))</f>
        <v>s+</v>
      </c>
      <c r="AB17" s="124"/>
    </row>
    <row r="18" spans="1:28" ht="12.75">
      <c r="A18" s="41" t="s">
        <v>46</v>
      </c>
      <c r="B18" s="72">
        <f>NORMSINV(1-(B17/2))</f>
        <v>1.9599610823206604</v>
      </c>
      <c r="D18" s="97"/>
      <c r="E18" s="97"/>
      <c r="G18" s="97"/>
      <c r="H18" s="97"/>
      <c r="I18" s="97"/>
      <c r="Y18" s="21"/>
      <c r="Z18" s="34"/>
      <c r="AA18" s="21"/>
      <c r="AB18" s="97"/>
    </row>
    <row r="19" spans="4:28" ht="12.75">
      <c r="D19" s="130"/>
      <c r="E19" s="97"/>
      <c r="F19" s="131"/>
      <c r="G19" s="125"/>
      <c r="H19" s="97"/>
      <c r="I19" s="97"/>
      <c r="Y19" s="21"/>
      <c r="Z19" s="34"/>
      <c r="AA19" s="21"/>
      <c r="AB19" s="97"/>
    </row>
    <row r="20" spans="25:28" ht="12.75">
      <c r="Y20" s="21" t="s">
        <v>18</v>
      </c>
      <c r="Z20" s="23" t="str">
        <f>$D$4</f>
        <v>¬a</v>
      </c>
      <c r="AA20" s="21"/>
      <c r="AB20" s="97"/>
    </row>
    <row r="21" spans="1:28" ht="18">
      <c r="A21" s="36" t="s">
        <v>86</v>
      </c>
      <c r="L21" s="37"/>
      <c r="M21" s="38" t="s">
        <v>17</v>
      </c>
      <c r="N21" s="37"/>
      <c r="P21" s="37"/>
      <c r="Q21" s="39" t="s">
        <v>80</v>
      </c>
      <c r="R21" s="37"/>
      <c r="S21" s="37"/>
      <c r="T21" s="37"/>
      <c r="Y21" s="21" t="s">
        <v>28</v>
      </c>
      <c r="Z21" s="117">
        <f>(S5+AA6/2)/(1+AA6)</f>
        <v>0.7376133849313279</v>
      </c>
      <c r="AA21" s="21"/>
      <c r="AB21" s="97"/>
    </row>
    <row r="22" spans="8:28" ht="12.75">
      <c r="H22" s="41" t="s">
        <v>81</v>
      </c>
      <c r="L22" s="37"/>
      <c r="M22" s="37" t="s">
        <v>82</v>
      </c>
      <c r="N22" s="37"/>
      <c r="P22" s="37"/>
      <c r="Q22" s="37" t="s">
        <v>83</v>
      </c>
      <c r="R22" s="37"/>
      <c r="S22" s="37"/>
      <c r="T22" s="37"/>
      <c r="U22" t="s">
        <v>21</v>
      </c>
      <c r="Y22" s="21" t="s">
        <v>62</v>
      </c>
      <c r="Z22" s="117">
        <f>$AA$5*SQRT((S5*S6+AA6/4)/D7)/(1+AA6)</f>
        <v>0.033462491633154824</v>
      </c>
      <c r="AA22" s="21"/>
      <c r="AB22" s="99"/>
    </row>
    <row r="23" spans="1:28" ht="12.75">
      <c r="A23" s="41" t="s">
        <v>22</v>
      </c>
      <c r="B23" s="41" t="str">
        <f aca="true" t="shared" si="0" ref="B23:C25">C4</f>
        <v>a</v>
      </c>
      <c r="C23" s="41" t="str">
        <f t="shared" si="0"/>
        <v>¬a</v>
      </c>
      <c r="F23" t="s">
        <v>24</v>
      </c>
      <c r="H23" s="44" t="s">
        <v>25</v>
      </c>
      <c r="L23" s="37"/>
      <c r="M23" s="39" t="str">
        <f>B23</f>
        <v>a</v>
      </c>
      <c r="N23" s="37"/>
      <c r="P23" s="39" t="str">
        <f>B23</f>
        <v>a</v>
      </c>
      <c r="Q23" s="37"/>
      <c r="R23" s="37" t="s">
        <v>27</v>
      </c>
      <c r="S23" s="37" t="s">
        <v>28</v>
      </c>
      <c r="T23" s="37" t="s">
        <v>29</v>
      </c>
      <c r="U23" t="s">
        <v>30</v>
      </c>
      <c r="V23" t="s">
        <v>31</v>
      </c>
      <c r="Y23" s="30" t="s">
        <v>63</v>
      </c>
      <c r="Z23" s="120">
        <f>Z21+Z22</f>
        <v>0.7710758765644827</v>
      </c>
      <c r="AA23" s="21"/>
      <c r="AB23" s="99"/>
    </row>
    <row r="24" spans="1:28" ht="12.75">
      <c r="A24" s="41" t="str">
        <f>B5</f>
        <v>b</v>
      </c>
      <c r="B24" s="143">
        <f t="shared" si="0"/>
        <v>2</v>
      </c>
      <c r="C24" s="144">
        <f t="shared" si="0"/>
        <v>487</v>
      </c>
      <c r="D24" s="134">
        <f>SUM(B24:C24)</f>
        <v>489</v>
      </c>
      <c r="E24" s="45"/>
      <c r="F24" s="46">
        <f>$D24*B$26/$D$26</f>
        <v>40.80667593880389</v>
      </c>
      <c r="G24" s="46">
        <f>$D24*C$26/$D$26</f>
        <v>448.1933240611961</v>
      </c>
      <c r="H24" s="46"/>
      <c r="I24" s="46">
        <f>(B24-F24)^2/F24</f>
        <v>36.904699115354674</v>
      </c>
      <c r="J24" s="46">
        <f>(C24-G24)^2/G24</f>
        <v>3.3600636523843406</v>
      </c>
      <c r="L24" s="47" t="s">
        <v>34</v>
      </c>
      <c r="M24" s="48">
        <f>B24/B26</f>
        <v>0.03333333333333333</v>
      </c>
      <c r="N24" s="37"/>
      <c r="P24" s="47" t="s">
        <v>34</v>
      </c>
      <c r="Q24" s="48">
        <f>M24</f>
        <v>0.03333333333333333</v>
      </c>
      <c r="R24" s="37">
        <f>$B$18^2/B26</f>
        <v>0.06402412407019291</v>
      </c>
      <c r="S24" s="48">
        <f>(Q24+R24/2)/(1+R24)</f>
        <v>0.061413452843968604</v>
      </c>
      <c r="T24" s="48">
        <f>$B$18*SQRT((Q24*(1-Q24)+R24/4)/B26)/(1+R24)</f>
        <v>0.05222411805395586</v>
      </c>
      <c r="U24" s="48">
        <f>S24+T24</f>
        <v>0.11363757089792446</v>
      </c>
      <c r="V24" s="48">
        <f>S24-T24</f>
        <v>0.009189334790012743</v>
      </c>
      <c r="Y24" s="32" t="s">
        <v>64</v>
      </c>
      <c r="Z24" s="121">
        <f>Z21-Z22</f>
        <v>0.704150893298173</v>
      </c>
      <c r="AA24" s="122" t="str">
        <f>IF($T5&gt;Z23,"s+",IF($T5&lt;Z24,"s-","ns"))</f>
        <v>s-</v>
      </c>
      <c r="AB24" s="97"/>
    </row>
    <row r="25" spans="1:28" ht="12.75">
      <c r="A25" s="41" t="str">
        <f>B6</f>
        <v>¬b</v>
      </c>
      <c r="B25" s="145">
        <f t="shared" si="0"/>
        <v>58</v>
      </c>
      <c r="C25" s="146">
        <f t="shared" si="0"/>
        <v>172</v>
      </c>
      <c r="D25" s="135">
        <f>SUM(B25:C25)</f>
        <v>230</v>
      </c>
      <c r="E25" s="45"/>
      <c r="F25" s="46">
        <f>$D25*B$26/$D$26</f>
        <v>19.193324061196105</v>
      </c>
      <c r="G25" s="46">
        <f>$D25*C$26/$D$26</f>
        <v>210.8066759388039</v>
      </c>
      <c r="H25" s="46"/>
      <c r="I25" s="46">
        <f>(B25-F25)^2/F25</f>
        <v>78.46259942351494</v>
      </c>
      <c r="J25" s="46">
        <f>(C25-G25)^2/G25</f>
        <v>7.1437875044171415</v>
      </c>
      <c r="L25" s="47" t="s">
        <v>84</v>
      </c>
      <c r="M25" s="48">
        <f>C24/C26</f>
        <v>0.7389984825493171</v>
      </c>
      <c r="N25" s="37"/>
      <c r="P25" s="47" t="s">
        <v>84</v>
      </c>
      <c r="Q25" s="48">
        <f>M25</f>
        <v>0.7389984825493171</v>
      </c>
      <c r="R25" s="37">
        <f>$B$18^2/C26</f>
        <v>0.005829207047362024</v>
      </c>
      <c r="S25" s="48">
        <f>(Q25+R25/2)/(1+R25)</f>
        <v>0.7376133849313279</v>
      </c>
      <c r="T25" s="48">
        <f>$B$18*SQRT((Q25*(1-Q25)+R25/4)/C26)/(1+R25)</f>
        <v>0.033462491633154824</v>
      </c>
      <c r="U25" s="48">
        <f>S25+T25</f>
        <v>0.7710758765644827</v>
      </c>
      <c r="V25" s="48">
        <f>S25-T25</f>
        <v>0.704150893298173</v>
      </c>
      <c r="Y25" s="21"/>
      <c r="Z25" s="34"/>
      <c r="AA25" s="32"/>
      <c r="AB25" s="97"/>
    </row>
    <row r="26" spans="2:28" ht="12.75">
      <c r="B26" s="53">
        <f>SUM(B24:B25)</f>
        <v>60</v>
      </c>
      <c r="C26" s="104">
        <f>SUM(C24:C25)</f>
        <v>659</v>
      </c>
      <c r="D26" s="54">
        <f>SUM(D24:D25)</f>
        <v>719</v>
      </c>
      <c r="E26" s="45"/>
      <c r="F26" s="46"/>
      <c r="G26" s="46"/>
      <c r="H26" s="55" t="s">
        <v>25</v>
      </c>
      <c r="I26" s="52">
        <f>SUM(I24:J25)</f>
        <v>125.87114969567111</v>
      </c>
      <c r="J26" s="46"/>
      <c r="L26" s="47" t="s">
        <v>26</v>
      </c>
      <c r="M26" s="48">
        <f>D24/D26</f>
        <v>0.6801112656467315</v>
      </c>
      <c r="N26" s="37"/>
      <c r="P26" s="37" t="str">
        <f>L26</f>
        <v>p^</v>
      </c>
      <c r="Q26" s="48">
        <f>M26</f>
        <v>0.6801112656467315</v>
      </c>
      <c r="R26" s="37">
        <f>$B$18^2/D26</f>
        <v>0.005342764178319297</v>
      </c>
      <c r="S26" s="48">
        <f>(Q26+R26/2)/(1+R26)</f>
        <v>0.6791540876050757</v>
      </c>
      <c r="T26" s="48">
        <f>$B$18*SQRT((Q26*(1-Q26)+R26/4)/D26)/(1+R26)</f>
        <v>0.03401632444040361</v>
      </c>
      <c r="U26" s="48">
        <f>S26+T26</f>
        <v>0.7131704120454793</v>
      </c>
      <c r="V26" s="48">
        <f>S26-T26</f>
        <v>0.6451377631646721</v>
      </c>
      <c r="Y26" s="21"/>
      <c r="Z26" s="21"/>
      <c r="AA26" s="21"/>
      <c r="AB26" s="97"/>
    </row>
    <row r="27" spans="2:28" ht="12.75">
      <c r="B27" s="57"/>
      <c r="C27" s="57"/>
      <c r="D27" s="57"/>
      <c r="F27" s="46"/>
      <c r="G27" s="46"/>
      <c r="H27" s="58" t="s">
        <v>37</v>
      </c>
      <c r="I27" s="52">
        <f>CHIDIST(I26,1)</f>
        <v>3.2811022546820924E-29</v>
      </c>
      <c r="J27" s="46"/>
      <c r="K27" t="s">
        <v>38</v>
      </c>
      <c r="L27" s="39" t="s">
        <v>39</v>
      </c>
      <c r="M27" s="59">
        <f>M24-M25</f>
        <v>-0.7056651492159838</v>
      </c>
      <c r="N27" s="51">
        <f>M27/M24</f>
        <v>-21.169954476479514</v>
      </c>
      <c r="P27" s="37"/>
      <c r="Q27" s="39" t="s">
        <v>40</v>
      </c>
      <c r="R27" s="59">
        <f>-$B$18*SQRT(U24*(1-U24)/B26+V25*(1-V25)/C26)</f>
        <v>-0.08753927717000375</v>
      </c>
      <c r="S27" s="51">
        <f>R27/Q24</f>
        <v>-2.6261783151001126</v>
      </c>
      <c r="T27" s="37" t="s">
        <v>31</v>
      </c>
      <c r="U27" s="45"/>
      <c r="Y27" s="21" t="s">
        <v>65</v>
      </c>
      <c r="Z27" s="21"/>
      <c r="AA27" s="21"/>
      <c r="AB27" s="97"/>
    </row>
    <row r="28" spans="2:28" ht="12.75">
      <c r="B28" s="57"/>
      <c r="C28" s="63"/>
      <c r="D28" s="57"/>
      <c r="H28" s="64" t="s">
        <v>85</v>
      </c>
      <c r="I28" s="59">
        <f>(B24*C25-C24*B25)/SQRT(D24*D25*B26*C26)</f>
        <v>-0.41840672311363664</v>
      </c>
      <c r="L28" s="39" t="s">
        <v>40</v>
      </c>
      <c r="M28" s="59">
        <f>$B$18*SQRT(M26*(1-M26)*(1/B26+1/C26))</f>
        <v>0.12327727271078762</v>
      </c>
      <c r="N28" s="51">
        <f>M28/M24</f>
        <v>3.6983181813236286</v>
      </c>
      <c r="P28" s="48"/>
      <c r="Q28" s="37"/>
      <c r="R28" s="59">
        <f>$B$18*SQRT(V24*(1-V24)/B26+U25*(1-U25)/C26)</f>
        <v>0.0401483732231338</v>
      </c>
      <c r="S28" s="51">
        <f>R28/Q24</f>
        <v>1.204451196694014</v>
      </c>
      <c r="T28" s="48" t="s">
        <v>30</v>
      </c>
      <c r="U28" s="45"/>
      <c r="AB28" s="97"/>
    </row>
    <row r="29" spans="2:29" ht="12.75">
      <c r="B29" s="57"/>
      <c r="C29" s="57"/>
      <c r="D29" s="57"/>
      <c r="H29" s="41"/>
      <c r="L29" s="37" t="s">
        <v>41</v>
      </c>
      <c r="M29" s="48"/>
      <c r="N29" s="39" t="b">
        <f>ABS(M27)&gt;M28</f>
        <v>1</v>
      </c>
      <c r="P29" s="37"/>
      <c r="Q29" s="37"/>
      <c r="R29" s="39" t="str">
        <f>IF(M27&gt;R27,"s (p2&lt;p1)",IF(M27&lt;R28,"s (p2&gt;p1)","ns"))</f>
        <v>s (p2&gt;p1)</v>
      </c>
      <c r="S29" s="37"/>
      <c r="T29" s="48"/>
      <c r="AB29" s="99"/>
      <c r="AC29" s="97"/>
    </row>
    <row r="30" spans="2:29" ht="12.75">
      <c r="B30" s="57"/>
      <c r="C30" s="57"/>
      <c r="D30" s="57"/>
      <c r="H30" s="41"/>
      <c r="I30" s="41"/>
      <c r="K30" s="65"/>
      <c r="L30" s="65"/>
      <c r="M30" s="66"/>
      <c r="N30" s="67"/>
      <c r="P30" s="65"/>
      <c r="Q30" s="65"/>
      <c r="R30" s="65"/>
      <c r="S30" s="65"/>
      <c r="T30" s="66"/>
      <c r="U30" s="65"/>
      <c r="V30" s="65"/>
      <c r="W30" s="65"/>
      <c r="AB30" s="99"/>
      <c r="AC30" s="124"/>
    </row>
    <row r="31" spans="1:29" ht="12.75">
      <c r="A31" s="41" t="s">
        <v>42</v>
      </c>
      <c r="B31" s="41" t="str">
        <f>B5</f>
        <v>b</v>
      </c>
      <c r="C31" s="41" t="str">
        <f>B6</f>
        <v>¬b</v>
      </c>
      <c r="D31" s="57"/>
      <c r="F31" t="s">
        <v>24</v>
      </c>
      <c r="H31" s="44" t="s">
        <v>25</v>
      </c>
      <c r="L31" s="37"/>
      <c r="M31" s="39" t="str">
        <f>B31</f>
        <v>b</v>
      </c>
      <c r="N31" s="37"/>
      <c r="P31" s="39" t="str">
        <f>B31</f>
        <v>b</v>
      </c>
      <c r="Q31" s="37"/>
      <c r="R31" s="37" t="s">
        <v>27</v>
      </c>
      <c r="S31" s="37" t="s">
        <v>28</v>
      </c>
      <c r="T31" s="37" t="s">
        <v>29</v>
      </c>
      <c r="U31" t="s">
        <v>30</v>
      </c>
      <c r="V31" t="s">
        <v>31</v>
      </c>
      <c r="AB31" s="97"/>
      <c r="AC31" s="97"/>
    </row>
    <row r="32" spans="1:29" ht="12.75">
      <c r="A32" s="41" t="str">
        <f>C4</f>
        <v>a</v>
      </c>
      <c r="B32" s="143">
        <f>C5</f>
        <v>2</v>
      </c>
      <c r="C32" s="144">
        <f>C6</f>
        <v>58</v>
      </c>
      <c r="D32" s="134">
        <f>SUM(B32:C32)</f>
        <v>60</v>
      </c>
      <c r="E32" s="45"/>
      <c r="F32" s="46">
        <f>$D32*B$26/$D$26</f>
        <v>5.006954102920723</v>
      </c>
      <c r="G32" s="46">
        <f>$D32*C$26/$D$26</f>
        <v>54.99304589707928</v>
      </c>
      <c r="H32" s="46"/>
      <c r="I32" s="46">
        <f>(B32-F32)^2/F32</f>
        <v>1.8058429918096117</v>
      </c>
      <c r="J32" s="46">
        <f>(C32-G32)^2/G32</f>
        <v>0.1644166608627871</v>
      </c>
      <c r="L32" s="47" t="s">
        <v>34</v>
      </c>
      <c r="M32" s="48">
        <f>B32/B34</f>
        <v>0.00408997955010225</v>
      </c>
      <c r="N32" s="37"/>
      <c r="P32" s="47" t="s">
        <v>34</v>
      </c>
      <c r="Q32" s="48">
        <f>M32</f>
        <v>0.00408997955010225</v>
      </c>
      <c r="R32" s="37">
        <f>$B$18^2/B34</f>
        <v>0.007855720744808945</v>
      </c>
      <c r="S32" s="48">
        <f>(Q32+R32/2)/(1+R32)</f>
        <v>0.007955344954118542</v>
      </c>
      <c r="T32" s="48">
        <f>$B$18*SQRT((Q32*(1-Q32)+R32/4)/B34)/(1+R32)</f>
        <v>0.006833005657340557</v>
      </c>
      <c r="U32" s="48">
        <f>S32+T32</f>
        <v>0.014788350611459099</v>
      </c>
      <c r="V32" s="48">
        <f>S32-T32</f>
        <v>0.0011223392967779858</v>
      </c>
      <c r="X32" t="s">
        <v>54</v>
      </c>
      <c r="AB32" s="97"/>
      <c r="AC32" s="97"/>
    </row>
    <row r="33" spans="1:29" ht="12.75">
      <c r="A33" s="41" t="str">
        <f>D4</f>
        <v>¬a</v>
      </c>
      <c r="B33" s="145">
        <f>D5</f>
        <v>487</v>
      </c>
      <c r="C33" s="146">
        <f>D6</f>
        <v>172</v>
      </c>
      <c r="D33" s="135">
        <f>SUM(B33:C33)</f>
        <v>659</v>
      </c>
      <c r="E33" s="45"/>
      <c r="F33" s="46">
        <f>$D33*B$26/$D$26</f>
        <v>54.99304589707928</v>
      </c>
      <c r="G33" s="46">
        <f>$D33*C$26/$D$26</f>
        <v>604.0069541029208</v>
      </c>
      <c r="H33" s="46"/>
      <c r="I33" s="46">
        <f>(B33-F33)^2/F33</f>
        <v>3393.701973565263</v>
      </c>
      <c r="J33" s="46">
        <f>(C33-G33)^2/G33</f>
        <v>308.9865226311318</v>
      </c>
      <c r="L33" s="47" t="s">
        <v>84</v>
      </c>
      <c r="M33" s="48">
        <f>C32/C34</f>
        <v>0.25217391304347825</v>
      </c>
      <c r="N33" s="37"/>
      <c r="P33" s="47" t="s">
        <v>84</v>
      </c>
      <c r="Q33" s="48">
        <f>M33</f>
        <v>0.25217391304347825</v>
      </c>
      <c r="R33" s="37">
        <f>$B$18^2/C34</f>
        <v>0.01670194540961554</v>
      </c>
      <c r="S33" s="48">
        <f>(Q33+R33/2)/(1+R33)</f>
        <v>0.25624509417391156</v>
      </c>
      <c r="T33" s="48">
        <f>$B$18*SQRT((Q33*(1-Q33)+R33/4)/C34)/(1+R33)</f>
        <v>0.05580791048375514</v>
      </c>
      <c r="U33" s="48">
        <f>S33+T33</f>
        <v>0.3120530046576667</v>
      </c>
      <c r="V33" s="48">
        <f>S33-T33</f>
        <v>0.20043718369015642</v>
      </c>
      <c r="AB33" s="97"/>
      <c r="AC33" s="97"/>
    </row>
    <row r="34" spans="2:27" ht="12.75">
      <c r="B34" s="69">
        <f>SUM(B32:B33)</f>
        <v>489</v>
      </c>
      <c r="C34" s="70">
        <f>SUM(C32:C33)</f>
        <v>230</v>
      </c>
      <c r="D34" s="71">
        <f>SUM(D32:D33)</f>
        <v>719</v>
      </c>
      <c r="E34" s="45"/>
      <c r="F34" s="46"/>
      <c r="G34" s="46"/>
      <c r="H34" s="55" t="s">
        <v>25</v>
      </c>
      <c r="I34" s="52">
        <f>SUM(I32:J33)</f>
        <v>3704.658755849067</v>
      </c>
      <c r="J34" s="46"/>
      <c r="L34" s="47" t="s">
        <v>26</v>
      </c>
      <c r="M34" s="48">
        <f>D32/D34</f>
        <v>0.08344923504867872</v>
      </c>
      <c r="N34" s="37"/>
      <c r="P34" s="37" t="str">
        <f>L34</f>
        <v>p^</v>
      </c>
      <c r="Q34" s="48">
        <f>M34</f>
        <v>0.08344923504867872</v>
      </c>
      <c r="R34" s="37">
        <f>$B$18^2/D34</f>
        <v>0.005342764178319297</v>
      </c>
      <c r="S34" s="48">
        <f>(Q34+R34/2)/(1+R34)</f>
        <v>0.0856629402492651</v>
      </c>
      <c r="T34" s="48">
        <f>$B$18*SQRT((Q34*(1-Q34)+R34/4)/D34)/(1+R34)</f>
        <v>0.020282321938017957</v>
      </c>
      <c r="U34" s="48">
        <f>S34+T34</f>
        <v>0.10594526218728306</v>
      </c>
      <c r="V34" s="48">
        <f>S34-T34</f>
        <v>0.06538061831124714</v>
      </c>
      <c r="X34" t="s">
        <v>39</v>
      </c>
      <c r="Y34" t="s">
        <v>44</v>
      </c>
      <c r="Z34" t="s">
        <v>90</v>
      </c>
      <c r="AA34" t="s">
        <v>89</v>
      </c>
    </row>
    <row r="35" spans="6:27" ht="12.75">
      <c r="F35" s="46"/>
      <c r="G35" s="46"/>
      <c r="H35" s="58" t="s">
        <v>37</v>
      </c>
      <c r="I35" s="52">
        <f>CHIDIST(I34,1)</f>
        <v>0</v>
      </c>
      <c r="J35" s="46"/>
      <c r="K35" t="s">
        <v>38</v>
      </c>
      <c r="L35" s="39" t="s">
        <v>44</v>
      </c>
      <c r="M35" s="59">
        <f>M32-M33</f>
        <v>-0.24808393349337599</v>
      </c>
      <c r="N35" s="51">
        <f>M35/M32</f>
        <v>-60.656521739130426</v>
      </c>
      <c r="P35" s="37"/>
      <c r="Q35" s="39" t="s">
        <v>40</v>
      </c>
      <c r="R35" s="59">
        <f>-$B$18*SQRT(U32*(1-U32)/B34+V33*(1-V33)/C34)</f>
        <v>-0.0528312815247307</v>
      </c>
      <c r="S35" s="51">
        <f>R35/Q32</f>
        <v>-12.917248332796655</v>
      </c>
      <c r="T35" s="37" t="s">
        <v>31</v>
      </c>
      <c r="U35" s="45"/>
      <c r="X35" s="45">
        <f>M27</f>
        <v>-0.7056651492159838</v>
      </c>
      <c r="Y35" s="45">
        <f>M35</f>
        <v>-0.24808393349337599</v>
      </c>
      <c r="Z35" s="45">
        <f>M39</f>
        <v>-0.4575812157226078</v>
      </c>
      <c r="AA35" s="45">
        <f>Z35</f>
        <v>-0.4575812157226078</v>
      </c>
    </row>
    <row r="36" spans="2:27" ht="12.75">
      <c r="B36" s="41" t="s">
        <v>87</v>
      </c>
      <c r="D36" s="41"/>
      <c r="H36" s="64" t="s">
        <v>85</v>
      </c>
      <c r="I36" s="59">
        <f>(B32*C33-C32*B33)/SQRT(D32*D33*B34*C34)</f>
        <v>-0.41840672311363664</v>
      </c>
      <c r="L36" s="39" t="s">
        <v>40</v>
      </c>
      <c r="M36" s="59">
        <f>$B$18*SQRT(M34*(1-M34)*(1/B34+1/C34))</f>
        <v>0.04333940929122915</v>
      </c>
      <c r="N36" s="51">
        <f>M36/M32</f>
        <v>10.596485571705525</v>
      </c>
      <c r="P36" s="48"/>
      <c r="Q36" s="37"/>
      <c r="R36" s="59">
        <f>$B$18*SQRT(V32*(1-V32)/B34+U33*(1-U33)/C34)</f>
        <v>0.059952585442276995</v>
      </c>
      <c r="S36" s="51">
        <f>R36/Q32</f>
        <v>14.658407140636724</v>
      </c>
      <c r="T36" s="48" t="s">
        <v>30</v>
      </c>
      <c r="U36" s="45">
        <f>1-R36</f>
        <v>0.940047414557723</v>
      </c>
      <c r="X36" s="45">
        <f>M28</f>
        <v>0.12327727271078762</v>
      </c>
      <c r="Y36" s="45">
        <f>M36</f>
        <v>0.04333940929122915</v>
      </c>
      <c r="Z36" s="45">
        <f>M40</f>
        <v>0.13067360240202525</v>
      </c>
      <c r="AA36" s="45"/>
    </row>
    <row r="37" spans="12:20" ht="12.75">
      <c r="L37" s="37" t="s">
        <v>41</v>
      </c>
      <c r="M37" s="48"/>
      <c r="N37" s="39" t="b">
        <f>ABS(M35)&gt;M36</f>
        <v>1</v>
      </c>
      <c r="P37" s="37"/>
      <c r="Q37" s="37"/>
      <c r="R37" s="39" t="str">
        <f>IF(M35&gt;R35,"s (p2&lt;p1)",IF(M35&lt;R36,"s (p2&gt;p1)","ns"))</f>
        <v>s (p2&gt;p1)</v>
      </c>
      <c r="S37" s="37"/>
      <c r="T37" s="48"/>
    </row>
    <row r="38" spans="5:26" ht="12.75">
      <c r="E38" s="45"/>
      <c r="L38" s="40"/>
      <c r="M38" s="40"/>
      <c r="N38" s="40"/>
      <c r="P38" s="40"/>
      <c r="Q38" s="40"/>
      <c r="R38" s="40"/>
      <c r="S38" s="40"/>
      <c r="T38" s="49"/>
      <c r="W38" s="40"/>
      <c r="X38" s="45">
        <f>X35</f>
        <v>-0.7056651492159838</v>
      </c>
      <c r="Y38" s="45">
        <f>Y35</f>
        <v>-0.24808393349337599</v>
      </c>
      <c r="Z38" s="45">
        <f>Z35</f>
        <v>-0.4575812157226078</v>
      </c>
    </row>
    <row r="39" spans="10:27" ht="12.75">
      <c r="J39" s="41" t="s">
        <v>47</v>
      </c>
      <c r="K39" s="153"/>
      <c r="L39" s="154" t="s">
        <v>48</v>
      </c>
      <c r="M39" s="81">
        <f>M27-M35</f>
        <v>-0.4575812157226078</v>
      </c>
      <c r="N39" s="154" t="s">
        <v>49</v>
      </c>
      <c r="P39" s="155"/>
      <c r="Q39" s="74" t="s">
        <v>40</v>
      </c>
      <c r="R39" s="74">
        <f>-SQRT(R36^2+R27^2)</f>
        <v>-0.10610107232568511</v>
      </c>
      <c r="S39" s="78" t="s">
        <v>91</v>
      </c>
      <c r="T39" s="156"/>
      <c r="U39" s="84">
        <f>R39/B$18</f>
        <v>-0.054134275054103544</v>
      </c>
      <c r="X39" s="45">
        <f>-R27</f>
        <v>0.08753927717000375</v>
      </c>
      <c r="Y39" s="45">
        <f>-R35</f>
        <v>0.0528312815247307</v>
      </c>
      <c r="Z39" s="45">
        <f>-R39</f>
        <v>0.10610107232568511</v>
      </c>
      <c r="AA39" s="45">
        <f>-R42</f>
        <v>0.08753927717000375</v>
      </c>
    </row>
    <row r="40" spans="2:27" ht="12.75">
      <c r="B40" t="s">
        <v>92</v>
      </c>
      <c r="K40" s="153"/>
      <c r="L40" s="154" t="s">
        <v>50</v>
      </c>
      <c r="M40" s="81">
        <f>SQRT(M36^2+M28^2)</f>
        <v>0.13067360240202525</v>
      </c>
      <c r="N40" s="154" t="b">
        <f>ABS(M39)&gt;M40</f>
        <v>1</v>
      </c>
      <c r="P40" s="157"/>
      <c r="Q40" s="158"/>
      <c r="R40" s="81">
        <f>SQRT(R35^2+R28^2)</f>
        <v>0.06635537792831413</v>
      </c>
      <c r="S40" s="154" t="str">
        <f>IF($M$39&gt;R40,"s (diff 2 &lt; 1)",IF($M$39&lt;R39,"s (diff 2 &gt; 1)","ns"))</f>
        <v>s (diff 2 &gt; 1)</v>
      </c>
      <c r="T40" s="159"/>
      <c r="U40" s="84"/>
      <c r="X40" s="45">
        <f>R28</f>
        <v>0.0401483732231338</v>
      </c>
      <c r="Y40" s="45">
        <f>R36</f>
        <v>0.059952585442276995</v>
      </c>
      <c r="Z40" s="45">
        <f>R40</f>
        <v>0.06635537792831413</v>
      </c>
      <c r="AA40" s="45">
        <f>R43</f>
        <v>0.0528312815247307</v>
      </c>
    </row>
    <row r="41" spans="2:20" ht="12.75">
      <c r="B41" s="140" t="s">
        <v>93</v>
      </c>
      <c r="C41" s="139"/>
      <c r="D41" s="139"/>
      <c r="E41" s="139"/>
      <c r="F41" s="139"/>
      <c r="G41" s="139"/>
      <c r="H41" s="139"/>
      <c r="I41" s="139"/>
      <c r="J41" s="139"/>
      <c r="K41" s="136"/>
      <c r="P41" s="160"/>
      <c r="Q41" s="97"/>
      <c r="R41" s="161"/>
      <c r="S41" s="97"/>
      <c r="T41" s="162"/>
    </row>
    <row r="42" spans="1:22" ht="12.75">
      <c r="A42" s="140"/>
      <c r="B42" s="139"/>
      <c r="C42" s="139"/>
      <c r="D42" s="139"/>
      <c r="E42" s="139"/>
      <c r="F42" s="139"/>
      <c r="G42" s="139"/>
      <c r="H42" s="137"/>
      <c r="I42" s="139"/>
      <c r="J42" s="139"/>
      <c r="K42" s="136"/>
      <c r="L42" s="55" t="s">
        <v>25</v>
      </c>
      <c r="M42" s="81">
        <f>(M39/(M40/B18))^2</f>
        <v>47.103756555665484</v>
      </c>
      <c r="N42" s="97"/>
      <c r="O42" s="98"/>
      <c r="P42" s="163"/>
      <c r="Q42" s="81" t="s">
        <v>40</v>
      </c>
      <c r="R42" s="81">
        <f>-MAX(-R27,R36)</f>
        <v>-0.08753927717000375</v>
      </c>
      <c r="S42" s="154" t="s">
        <v>88</v>
      </c>
      <c r="T42" s="83"/>
      <c r="U42" s="97"/>
      <c r="V42" s="97"/>
    </row>
    <row r="43" spans="1:23" ht="12.75">
      <c r="A43" s="139"/>
      <c r="B43" s="141"/>
      <c r="C43" s="141"/>
      <c r="D43" s="141"/>
      <c r="E43" s="139"/>
      <c r="F43" s="138"/>
      <c r="G43" s="138"/>
      <c r="H43" s="138"/>
      <c r="I43" s="138"/>
      <c r="J43" s="138"/>
      <c r="K43" s="136"/>
      <c r="L43" s="58" t="s">
        <v>37</v>
      </c>
      <c r="M43" s="59">
        <f>CHIDIST(M42,1)</f>
        <v>6.732652490955445E-12</v>
      </c>
      <c r="N43" s="61" t="b">
        <f>M43&lt;0.05</f>
        <v>1</v>
      </c>
      <c r="O43" s="99"/>
      <c r="P43" s="164"/>
      <c r="Q43" s="165"/>
      <c r="R43" s="89">
        <f>MAX(R28,-R35)</f>
        <v>0.0528312815247307</v>
      </c>
      <c r="S43" s="88" t="str">
        <f>IF($M$39&gt;R43,"s (diff 2 &lt; 1)",IF($M$39&lt;R42,"s (diff 2 &gt; 1)","ns"))</f>
        <v>s (diff 2 &gt; 1)</v>
      </c>
      <c r="T43" s="166"/>
      <c r="U43" s="97"/>
      <c r="V43" s="97"/>
      <c r="W43" s="40"/>
    </row>
    <row r="44" spans="1:23" ht="12.75">
      <c r="A44" s="139"/>
      <c r="B44" s="141"/>
      <c r="C44" s="141"/>
      <c r="D44" s="141"/>
      <c r="E44" s="139"/>
      <c r="F44" s="138"/>
      <c r="G44" s="138"/>
      <c r="H44" s="138"/>
      <c r="I44" s="138"/>
      <c r="J44" s="138"/>
      <c r="K44" s="136"/>
      <c r="L44" s="97"/>
      <c r="M44" s="99"/>
      <c r="N44" s="99"/>
      <c r="O44" s="99"/>
      <c r="P44" s="99"/>
      <c r="Q44" s="50"/>
      <c r="R44" s="100"/>
      <c r="S44" s="60"/>
      <c r="U44" s="97"/>
      <c r="V44" s="97"/>
      <c r="W44" s="40"/>
    </row>
    <row r="45" spans="1:22" ht="12.75">
      <c r="A45" s="139"/>
      <c r="B45" s="141"/>
      <c r="C45" s="141"/>
      <c r="D45" s="141"/>
      <c r="E45" s="139"/>
      <c r="F45" s="139"/>
      <c r="G45" s="139"/>
      <c r="H45" s="137"/>
      <c r="I45" s="142"/>
      <c r="J45" s="139"/>
      <c r="K45" s="136"/>
      <c r="L45" s="97"/>
      <c r="M45" s="99"/>
      <c r="N45" s="99"/>
      <c r="O45" s="99"/>
      <c r="P45" s="98"/>
      <c r="R45" s="100"/>
      <c r="S45" s="99"/>
      <c r="U45" s="99"/>
      <c r="V45" s="99"/>
    </row>
    <row r="62" spans="1:10" ht="12.75">
      <c r="A62" s="97"/>
      <c r="B62" s="97"/>
      <c r="C62" s="97"/>
      <c r="D62" s="97"/>
      <c r="E62" s="97"/>
      <c r="F62" s="97"/>
      <c r="G62" s="97"/>
      <c r="H62" s="97"/>
      <c r="I62" s="97"/>
      <c r="J62" s="97"/>
    </row>
    <row r="63" spans="1:10" ht="12.75">
      <c r="A63" s="97"/>
      <c r="B63" s="97"/>
      <c r="C63" s="97"/>
      <c r="D63" s="97"/>
      <c r="E63" s="97"/>
      <c r="F63" s="97"/>
      <c r="G63" s="97"/>
      <c r="H63" s="97"/>
      <c r="I63" s="97"/>
      <c r="J63" s="97"/>
    </row>
    <row r="64" spans="1:10" ht="12.75">
      <c r="A64" s="97"/>
      <c r="B64" s="97"/>
      <c r="C64" s="97"/>
      <c r="D64" s="97"/>
      <c r="E64" s="97"/>
      <c r="F64" s="97"/>
      <c r="G64" s="97"/>
      <c r="H64" s="97"/>
      <c r="I64" s="97"/>
      <c r="J64" s="97"/>
    </row>
    <row r="65" spans="1:10" ht="12.75">
      <c r="A65" s="97"/>
      <c r="B65" s="97"/>
      <c r="C65" s="97"/>
      <c r="D65" s="97"/>
      <c r="E65" s="97"/>
      <c r="F65" s="97"/>
      <c r="G65" s="97"/>
      <c r="H65" s="97"/>
      <c r="I65" s="97"/>
      <c r="J65" s="97"/>
    </row>
  </sheetData>
  <mergeCells count="2">
    <mergeCell ref="C3:D3"/>
    <mergeCell ref="A5:A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19"/>
  <sheetViews>
    <sheetView workbookViewId="0" topLeftCell="A1">
      <selection activeCell="C5" sqref="C5"/>
    </sheetView>
  </sheetViews>
  <sheetFormatPr defaultColWidth="9.140625" defaultRowHeight="12.75"/>
  <cols>
    <col min="6" max="6" width="10.00390625" style="0" customWidth="1"/>
    <col min="19" max="19" width="11.140625" style="0" customWidth="1"/>
  </cols>
  <sheetData>
    <row r="1" ht="18">
      <c r="A1" s="36" t="s">
        <v>95</v>
      </c>
    </row>
    <row r="2" ht="15.75">
      <c r="A2" s="1" t="s">
        <v>0</v>
      </c>
    </row>
    <row r="3" spans="1:30" ht="15">
      <c r="A3" s="2" t="s">
        <v>1</v>
      </c>
      <c r="C3" s="151" t="s">
        <v>23</v>
      </c>
      <c r="D3" s="151"/>
      <c r="AD3" t="s">
        <v>51</v>
      </c>
    </row>
    <row r="4" spans="3:32" ht="12.75">
      <c r="C4" s="4" t="s">
        <v>2</v>
      </c>
      <c r="D4" s="4" t="s">
        <v>3</v>
      </c>
      <c r="E4" s="5" t="s">
        <v>4</v>
      </c>
      <c r="AD4" s="4" t="str">
        <f>C4</f>
        <v>a</v>
      </c>
      <c r="AE4" s="4" t="str">
        <f>D4</f>
        <v>¬a</v>
      </c>
      <c r="AF4" t="s">
        <v>52</v>
      </c>
    </row>
    <row r="5" spans="1:35" ht="12.75">
      <c r="A5" s="152" t="s">
        <v>66</v>
      </c>
      <c r="B5" s="6" t="s">
        <v>5</v>
      </c>
      <c r="C5" s="7">
        <v>2</v>
      </c>
      <c r="D5" s="8">
        <v>487</v>
      </c>
      <c r="E5" s="9">
        <f>SUM(C5:D5)</f>
        <v>489</v>
      </c>
      <c r="G5" s="10" t="s">
        <v>6</v>
      </c>
      <c r="AC5" s="18" t="s">
        <v>37</v>
      </c>
      <c r="AD5" s="107">
        <f>C5/C7</f>
        <v>0.03333333333333333</v>
      </c>
      <c r="AE5" s="108">
        <f>D5/D7</f>
        <v>0.7389984825493171</v>
      </c>
      <c r="AF5" s="46">
        <f>E5/E7</f>
        <v>0.6801112656467315</v>
      </c>
      <c r="AH5" s="45">
        <f>AE22-AD5</f>
        <v>0.08030423756459112</v>
      </c>
      <c r="AI5" s="45">
        <f>AE29-AE5</f>
        <v>0.03207739401516563</v>
      </c>
    </row>
    <row r="6" spans="1:35" ht="12.75">
      <c r="A6" s="152"/>
      <c r="B6" s="6" t="s">
        <v>7</v>
      </c>
      <c r="C6" s="11">
        <v>58</v>
      </c>
      <c r="D6" s="12">
        <v>172</v>
      </c>
      <c r="E6" s="13">
        <f>SUM(C6:D6)</f>
        <v>230</v>
      </c>
      <c r="AC6" s="18" t="s">
        <v>53</v>
      </c>
      <c r="AD6" s="109">
        <f>1-AD5</f>
        <v>0.9666666666666667</v>
      </c>
      <c r="AE6" s="110">
        <f>1-AE5</f>
        <v>0.2610015174506829</v>
      </c>
      <c r="AF6" s="46">
        <f>1-AF5</f>
        <v>0.3198887343532685</v>
      </c>
      <c r="AH6" s="45">
        <f>AD5-AE23</f>
        <v>0.02414399854332059</v>
      </c>
      <c r="AI6" s="45">
        <f>AE5-AE30</f>
        <v>0.03484758925114406</v>
      </c>
    </row>
    <row r="7" spans="2:35" ht="12.75">
      <c r="B7" s="14" t="s">
        <v>4</v>
      </c>
      <c r="C7" s="15">
        <f>SUM(C5:C6)</f>
        <v>60</v>
      </c>
      <c r="D7" s="16">
        <f>SUM(D5:D6)</f>
        <v>659</v>
      </c>
      <c r="E7" s="17">
        <f>SUM(E5:E6)</f>
        <v>719</v>
      </c>
      <c r="Z7" s="97"/>
      <c r="AH7" s="97"/>
      <c r="AI7" s="97"/>
    </row>
    <row r="8" spans="2:35" ht="12.75">
      <c r="B8" s="18"/>
      <c r="C8" s="19"/>
      <c r="D8" s="19"/>
      <c r="E8" s="19"/>
      <c r="Z8" s="97"/>
      <c r="AF8" s="45"/>
      <c r="AH8" s="97"/>
      <c r="AI8" s="97"/>
    </row>
    <row r="9" spans="1:35" ht="15">
      <c r="A9" s="2" t="s">
        <v>8</v>
      </c>
      <c r="G9" t="s">
        <v>9</v>
      </c>
      <c r="Z9" s="97"/>
      <c r="AD9" t="s">
        <v>58</v>
      </c>
      <c r="AH9" s="97"/>
      <c r="AI9" s="97"/>
    </row>
    <row r="10" spans="1:35" ht="12.75">
      <c r="A10" s="20" t="s">
        <v>10</v>
      </c>
      <c r="G10" s="21" t="s">
        <v>11</v>
      </c>
      <c r="H10" s="21"/>
      <c r="I10" s="21"/>
      <c r="Z10" s="97"/>
      <c r="AD10" s="21" t="s">
        <v>59</v>
      </c>
      <c r="AE10" s="21"/>
      <c r="AF10" s="21"/>
      <c r="AH10" s="97"/>
      <c r="AI10" s="97"/>
    </row>
    <row r="11" spans="1:35" ht="12.75">
      <c r="A11" s="3"/>
      <c r="B11" t="s">
        <v>12</v>
      </c>
      <c r="C11" s="4" t="str">
        <f>$C$4</f>
        <v>a</v>
      </c>
      <c r="D11" s="4" t="str">
        <f>$D$4</f>
        <v>¬a</v>
      </c>
      <c r="G11" s="22" t="s">
        <v>13</v>
      </c>
      <c r="H11" s="23" t="str">
        <f>$C$4</f>
        <v>a</v>
      </c>
      <c r="I11" s="23" t="str">
        <f>$D$4</f>
        <v>¬a</v>
      </c>
      <c r="Z11" s="99"/>
      <c r="AD11" s="21" t="s">
        <v>60</v>
      </c>
      <c r="AE11" s="34">
        <v>0.05</v>
      </c>
      <c r="AF11" s="34">
        <f>NORMSINV(1-(AE11/2))</f>
        <v>1.9599610823206604</v>
      </c>
      <c r="AH11" s="97"/>
      <c r="AI11" s="99"/>
    </row>
    <row r="12" spans="1:35" ht="12.75">
      <c r="A12" s="3"/>
      <c r="B12" s="6" t="str">
        <f>$B$5</f>
        <v>b</v>
      </c>
      <c r="C12" s="24">
        <f>$E5*C$7/$E$7</f>
        <v>40.80667593880389</v>
      </c>
      <c r="D12" s="25">
        <f>$E5*D$7/$E$7</f>
        <v>448.1933240611961</v>
      </c>
      <c r="G12" s="21"/>
      <c r="H12" s="26">
        <f>(C5-C12)^2/C12</f>
        <v>36.904699115354674</v>
      </c>
      <c r="I12" s="26">
        <f>(D5-D12)^2/D12</f>
        <v>3.3600636523843406</v>
      </c>
      <c r="Z12" s="99"/>
      <c r="AD12" s="21" t="s">
        <v>27</v>
      </c>
      <c r="AE12" s="21">
        <f>$AF$11*$AF$11/C7</f>
        <v>0.06402412407019291</v>
      </c>
      <c r="AF12" s="21">
        <f>$AF$11*$AF$11/D7</f>
        <v>0.005829207047362024</v>
      </c>
      <c r="AH12" s="97"/>
      <c r="AI12" s="99"/>
    </row>
    <row r="13" spans="1:35" ht="12.75">
      <c r="A13" s="3"/>
      <c r="B13" s="6" t="str">
        <f>$B$6</f>
        <v>¬b</v>
      </c>
      <c r="C13" s="27">
        <f>$E6*C$7/$E$7</f>
        <v>19.193324061196105</v>
      </c>
      <c r="D13" s="28">
        <f>$E6*D$7/$E$7</f>
        <v>210.8066759388039</v>
      </c>
      <c r="G13" s="21"/>
      <c r="H13" s="26">
        <f>(C6-C13)^2/C13</f>
        <v>78.46259942351494</v>
      </c>
      <c r="I13" s="26">
        <f>(D6-D13)^2/D13</f>
        <v>7.1437875044171415</v>
      </c>
      <c r="Z13" s="99"/>
      <c r="AD13" s="21"/>
      <c r="AE13" s="26"/>
      <c r="AF13" s="21"/>
      <c r="AH13" s="97"/>
      <c r="AI13" s="99"/>
    </row>
    <row r="14" spans="1:35" ht="12.75">
      <c r="A14" s="3"/>
      <c r="C14" s="29"/>
      <c r="D14" s="29"/>
      <c r="G14" s="30" t="s">
        <v>4</v>
      </c>
      <c r="H14" s="31">
        <f>SUM(H12:I13)</f>
        <v>125.87114969567111</v>
      </c>
      <c r="I14" s="32"/>
      <c r="Z14" s="97"/>
      <c r="AD14" s="21"/>
      <c r="AE14" s="21"/>
      <c r="AF14" s="21"/>
      <c r="AH14" s="97"/>
      <c r="AI14" s="97"/>
    </row>
    <row r="15" spans="1:35" ht="12.75">
      <c r="A15" s="33"/>
      <c r="G15" s="21" t="s">
        <v>14</v>
      </c>
      <c r="H15" s="34">
        <f>CHIDIST(H14,1)</f>
        <v>3.2811022546820924E-29</v>
      </c>
      <c r="I15" s="32" t="str">
        <f>IF((H15&lt;0.05),"s","ns")</f>
        <v>s</v>
      </c>
      <c r="Z15" s="123"/>
      <c r="AD15" s="21" t="s">
        <v>30</v>
      </c>
      <c r="AE15" s="116">
        <f>AF11*SQRT(AE23*(1-AE23)/C7+AE29*(1-AE29)/D7)</f>
        <v>0.0401483732231338</v>
      </c>
      <c r="AF15" s="117">
        <f>AE17-AE15</f>
        <v>-0.7458135224391176</v>
      </c>
      <c r="AH15" s="97"/>
      <c r="AI15" s="99"/>
    </row>
    <row r="16" spans="7:35" ht="12.75">
      <c r="G16" s="21" t="s">
        <v>15</v>
      </c>
      <c r="H16" s="34">
        <f>(C5*D6-C6*D5)/SQRT(E5*E6*C7*D7)</f>
        <v>-0.41840672311363664</v>
      </c>
      <c r="I16" s="35" t="s">
        <v>16</v>
      </c>
      <c r="Z16" s="99"/>
      <c r="AD16" s="21" t="s">
        <v>31</v>
      </c>
      <c r="AE16" s="116">
        <f>-AF11*SQRT(AE22*(1-AE22)/C7+AE30*(1-AE30)/D7)</f>
        <v>-0.08753927717000375</v>
      </c>
      <c r="AF16" s="106">
        <f>AE17-AE16</f>
        <v>-0.61812587204598</v>
      </c>
      <c r="AH16" s="97"/>
      <c r="AI16" s="99"/>
    </row>
    <row r="17" spans="1:35" ht="12.75">
      <c r="A17" s="41" t="s">
        <v>37</v>
      </c>
      <c r="B17" s="60">
        <v>0.05</v>
      </c>
      <c r="C17" s="63" t="s">
        <v>45</v>
      </c>
      <c r="G17" s="21"/>
      <c r="H17" s="34"/>
      <c r="I17" s="35"/>
      <c r="Z17" s="124"/>
      <c r="AD17" s="21" t="s">
        <v>61</v>
      </c>
      <c r="AE17" s="118">
        <f>AD5-AE5</f>
        <v>-0.7056651492159838</v>
      </c>
      <c r="AF17" s="119" t="str">
        <f>IF(AE17&gt;AE15,"s+",IF(AE17&lt;AE16,"s-","ns"))</f>
        <v>s-</v>
      </c>
      <c r="AH17" s="97"/>
      <c r="AI17" s="99"/>
    </row>
    <row r="18" spans="1:35" ht="12.75">
      <c r="A18" s="41" t="s">
        <v>46</v>
      </c>
      <c r="B18" s="72">
        <f>NORMSINV(1-(B17/2))</f>
        <v>1.9599610823206604</v>
      </c>
      <c r="D18" s="97"/>
      <c r="E18" s="97"/>
      <c r="G18" s="97"/>
      <c r="H18" s="97"/>
      <c r="I18" s="97"/>
      <c r="Z18" s="97"/>
      <c r="AD18" s="21"/>
      <c r="AE18" s="21"/>
      <c r="AF18" s="21"/>
      <c r="AH18" s="97"/>
      <c r="AI18" s="97"/>
    </row>
    <row r="19" spans="1:35" ht="12.75">
      <c r="A19" s="125"/>
      <c r="B19" s="97"/>
      <c r="C19" s="125"/>
      <c r="D19" s="130"/>
      <c r="E19" s="97"/>
      <c r="F19" s="131"/>
      <c r="G19" s="125"/>
      <c r="H19" s="97"/>
      <c r="I19" s="97"/>
      <c r="Z19" s="97"/>
      <c r="AD19" s="21" t="s">
        <v>18</v>
      </c>
      <c r="AE19" s="23" t="str">
        <f>$C$4</f>
        <v>a</v>
      </c>
      <c r="AF19" s="21"/>
      <c r="AH19" s="97"/>
      <c r="AI19" s="125"/>
    </row>
    <row r="20" spans="1:35" ht="12.75">
      <c r="A20" s="130"/>
      <c r="B20" s="128"/>
      <c r="C20" s="129"/>
      <c r="D20" s="97"/>
      <c r="E20" s="132"/>
      <c r="F20" s="97"/>
      <c r="G20" s="133"/>
      <c r="H20" s="97"/>
      <c r="I20" s="97"/>
      <c r="Z20" s="97"/>
      <c r="AD20" s="21" t="s">
        <v>28</v>
      </c>
      <c r="AE20" s="117">
        <f>(AD5+AE12/2)/(1+AE12)</f>
        <v>0.061413452843968604</v>
      </c>
      <c r="AF20" s="21"/>
      <c r="AH20" s="97"/>
      <c r="AI20" s="97"/>
    </row>
    <row r="21" spans="1:35" ht="18">
      <c r="A21" s="36" t="s">
        <v>75</v>
      </c>
      <c r="AD21" s="21" t="s">
        <v>62</v>
      </c>
      <c r="AE21" s="106">
        <f>$AF$11*SQRT((AD5*AD6+AE12/4)/C7)/(1+AE12)</f>
        <v>0.05222411805395586</v>
      </c>
      <c r="AF21" s="21"/>
      <c r="AH21" s="97"/>
      <c r="AI21" s="97"/>
    </row>
    <row r="22" spans="1:35" ht="12.75">
      <c r="A22" t="s">
        <v>67</v>
      </c>
      <c r="L22" s="37"/>
      <c r="M22" s="38" t="s">
        <v>17</v>
      </c>
      <c r="N22" s="37"/>
      <c r="P22" s="37"/>
      <c r="Q22" s="39" t="s">
        <v>18</v>
      </c>
      <c r="R22" s="37"/>
      <c r="S22" s="37"/>
      <c r="T22" s="37"/>
      <c r="W22" s="40"/>
      <c r="X22" s="40"/>
      <c r="AD22" s="30" t="s">
        <v>63</v>
      </c>
      <c r="AE22" s="120">
        <f>AE20+AE21</f>
        <v>0.11363757089792446</v>
      </c>
      <c r="AF22" s="21"/>
      <c r="AH22" s="43"/>
      <c r="AI22" s="99"/>
    </row>
    <row r="23" spans="4:35" ht="12.75">
      <c r="D23" t="s">
        <v>69</v>
      </c>
      <c r="H23" s="41" t="s">
        <v>19</v>
      </c>
      <c r="L23" s="37"/>
      <c r="M23" s="37"/>
      <c r="N23" s="37"/>
      <c r="P23" s="37"/>
      <c r="Q23" s="37" t="s">
        <v>20</v>
      </c>
      <c r="R23" s="37"/>
      <c r="S23" s="37"/>
      <c r="T23" s="37"/>
      <c r="U23" t="s">
        <v>21</v>
      </c>
      <c r="W23" s="40"/>
      <c r="X23" s="40"/>
      <c r="AD23" s="32" t="s">
        <v>64</v>
      </c>
      <c r="AE23" s="121">
        <f>AE20-AE21</f>
        <v>0.009189334790012743</v>
      </c>
      <c r="AF23" s="122" t="str">
        <f>IF($AF5&gt;AE22,"s+",IF($AF5&lt;AE23,"s-","ns"))</f>
        <v>s+</v>
      </c>
      <c r="AH23" s="43"/>
      <c r="AI23" s="99"/>
    </row>
    <row r="24" spans="1:35" ht="12.75">
      <c r="A24" s="41" t="s">
        <v>22</v>
      </c>
      <c r="B24" s="41" t="str">
        <f aca="true" t="shared" si="0" ref="B24:C26">C4</f>
        <v>a</v>
      </c>
      <c r="C24" s="42" t="str">
        <f t="shared" si="0"/>
        <v>¬a</v>
      </c>
      <c r="D24" s="43" t="str">
        <f>C3</f>
        <v>A</v>
      </c>
      <c r="F24" t="s">
        <v>24</v>
      </c>
      <c r="H24" s="44" t="s">
        <v>25</v>
      </c>
      <c r="L24" s="37"/>
      <c r="M24" s="39" t="str">
        <f>B24</f>
        <v>a</v>
      </c>
      <c r="N24" s="37" t="s">
        <v>26</v>
      </c>
      <c r="P24" s="39" t="str">
        <f>B24</f>
        <v>a</v>
      </c>
      <c r="Q24" s="37"/>
      <c r="R24" s="37" t="s">
        <v>27</v>
      </c>
      <c r="S24" s="37" t="s">
        <v>28</v>
      </c>
      <c r="T24" s="37" t="s">
        <v>29</v>
      </c>
      <c r="U24" t="s">
        <v>30</v>
      </c>
      <c r="V24" t="s">
        <v>31</v>
      </c>
      <c r="W24" s="40" t="s">
        <v>32</v>
      </c>
      <c r="X24" s="40" t="s">
        <v>33</v>
      </c>
      <c r="AD24" s="21"/>
      <c r="AE24" s="34"/>
      <c r="AF24" s="21"/>
      <c r="AH24" s="97"/>
      <c r="AI24" s="97"/>
    </row>
    <row r="25" spans="1:35" ht="12.75">
      <c r="A25" s="41" t="str">
        <f>B5</f>
        <v>b</v>
      </c>
      <c r="B25" s="143">
        <f t="shared" si="0"/>
        <v>2</v>
      </c>
      <c r="C25" s="148">
        <f t="shared" si="0"/>
        <v>487</v>
      </c>
      <c r="D25" s="102">
        <f>SUM(B25:C25)</f>
        <v>489</v>
      </c>
      <c r="E25" s="45"/>
      <c r="F25" s="46">
        <f>$D25*B$27/$D$27</f>
        <v>40.80667593880389</v>
      </c>
      <c r="G25" s="46"/>
      <c r="H25" s="46"/>
      <c r="I25" s="46">
        <f>(B25-F25)^2/F25</f>
        <v>36.904699115354674</v>
      </c>
      <c r="J25" s="46"/>
      <c r="L25" s="47" t="s">
        <v>34</v>
      </c>
      <c r="M25" s="48">
        <f>B25/$B27</f>
        <v>0.03333333333333333</v>
      </c>
      <c r="N25" s="48">
        <f>D25/D27</f>
        <v>0.6801112656467315</v>
      </c>
      <c r="P25" s="47" t="s">
        <v>34</v>
      </c>
      <c r="Q25" s="48">
        <f>M25</f>
        <v>0.03333333333333333</v>
      </c>
      <c r="R25" s="37">
        <f>$B$18^2/B27</f>
        <v>0.06402412407019291</v>
      </c>
      <c r="S25" s="48">
        <f>(Q25+R25/2)/(1+R25)</f>
        <v>0.061413452843968604</v>
      </c>
      <c r="T25" s="48">
        <f>$B$18*SQRT((Q25*(1-Q25)+R25/4)/B27)/(1+R25)</f>
        <v>0.05222411805395586</v>
      </c>
      <c r="U25" s="48">
        <f>S25+T25</f>
        <v>0.11363757089792446</v>
      </c>
      <c r="V25" s="48">
        <f>S25-T25</f>
        <v>0.009189334790012743</v>
      </c>
      <c r="W25" s="49">
        <f>U25-Q25</f>
        <v>0.08030423756459112</v>
      </c>
      <c r="X25" s="50">
        <f>Q25-V25</f>
        <v>0.02414399854332059</v>
      </c>
      <c r="AD25" s="21"/>
      <c r="AE25" s="34"/>
      <c r="AF25" s="21"/>
      <c r="AH25" s="97"/>
      <c r="AI25" s="97"/>
    </row>
    <row r="26" spans="1:35" ht="12.75">
      <c r="A26" s="41" t="str">
        <f>B6</f>
        <v>¬b</v>
      </c>
      <c r="B26" s="147">
        <f t="shared" si="0"/>
        <v>58</v>
      </c>
      <c r="C26" s="149">
        <f t="shared" si="0"/>
        <v>172</v>
      </c>
      <c r="D26" s="103">
        <f>SUM(B26:C26)</f>
        <v>230</v>
      </c>
      <c r="E26" s="45"/>
      <c r="F26" s="46">
        <f>$D26*B$27/$D$27</f>
        <v>19.193324061196105</v>
      </c>
      <c r="G26" s="46"/>
      <c r="H26" s="46"/>
      <c r="I26" s="46">
        <f>(B26-F26)^2/F26</f>
        <v>78.46259942351494</v>
      </c>
      <c r="J26" s="46"/>
      <c r="L26" s="47" t="s">
        <v>35</v>
      </c>
      <c r="M26" s="51"/>
      <c r="N26" s="52"/>
      <c r="AD26" s="21" t="s">
        <v>18</v>
      </c>
      <c r="AE26" s="23" t="str">
        <f>$D$4</f>
        <v>¬a</v>
      </c>
      <c r="AF26" s="21"/>
      <c r="AH26" s="97"/>
      <c r="AI26" s="125"/>
    </row>
    <row r="27" spans="2:35" ht="12.75">
      <c r="B27" s="105">
        <f>SUM(B25:B26)</f>
        <v>60</v>
      </c>
      <c r="C27" s="104">
        <f>SUM(C25:C26)</f>
        <v>659</v>
      </c>
      <c r="D27" s="54">
        <f>SUM(D25:D26)</f>
        <v>719</v>
      </c>
      <c r="E27" s="45"/>
      <c r="F27" s="46"/>
      <c r="G27" s="46"/>
      <c r="H27" s="55" t="s">
        <v>25</v>
      </c>
      <c r="I27" s="52">
        <f>SUM(I25:I26)</f>
        <v>115.36729853886962</v>
      </c>
      <c r="J27" s="46"/>
      <c r="L27" s="47"/>
      <c r="M27" s="48"/>
      <c r="N27" s="37"/>
      <c r="P27" s="56" t="s">
        <v>36</v>
      </c>
      <c r="Q27" s="48">
        <f>N25</f>
        <v>0.6801112656467315</v>
      </c>
      <c r="R27" s="48">
        <f>$B$18^2/D27</f>
        <v>0.005342764178319297</v>
      </c>
      <c r="S27" s="48">
        <f>(Q27+R27/2)/(1+R27)</f>
        <v>0.6791540876050757</v>
      </c>
      <c r="T27" s="48">
        <f>$B$18*SQRT((Q27*(1-Q27)+R27/4)/D27)/(1+R27)</f>
        <v>0.03401632444040361</v>
      </c>
      <c r="U27" s="48">
        <f>S27+T27</f>
        <v>0.7131704120454793</v>
      </c>
      <c r="V27" s="48">
        <f>S27-T27</f>
        <v>0.6451377631646721</v>
      </c>
      <c r="W27" s="49">
        <f>U27-Q27</f>
        <v>0.03305914639874774</v>
      </c>
      <c r="X27" s="50">
        <f>Q27-V27</f>
        <v>0.03497350248205944</v>
      </c>
      <c r="AD27" s="21" t="s">
        <v>28</v>
      </c>
      <c r="AE27" s="117">
        <f>(AE5+AF12/2)/(1+AF12)</f>
        <v>0.7376133849313279</v>
      </c>
      <c r="AF27" s="21"/>
      <c r="AH27" s="97"/>
      <c r="AI27" s="97"/>
    </row>
    <row r="28" spans="2:35" ht="12.75">
      <c r="B28" s="57"/>
      <c r="C28" s="57"/>
      <c r="D28" s="57"/>
      <c r="F28" s="46"/>
      <c r="G28" s="46"/>
      <c r="H28" s="58" t="s">
        <v>37</v>
      </c>
      <c r="I28" s="52">
        <f>CHIDIST(I27,1)</f>
        <v>6.539159990359091E-27</v>
      </c>
      <c r="J28" s="46"/>
      <c r="K28" t="s">
        <v>38</v>
      </c>
      <c r="L28" s="39" t="s">
        <v>39</v>
      </c>
      <c r="M28" s="59">
        <f>M25-N25</f>
        <v>-0.6467779323133982</v>
      </c>
      <c r="N28" s="52"/>
      <c r="P28" s="40"/>
      <c r="Q28" s="60"/>
      <c r="R28" s="61"/>
      <c r="S28" s="62"/>
      <c r="T28" s="40"/>
      <c r="U28" s="49"/>
      <c r="V28" s="40"/>
      <c r="W28" s="40"/>
      <c r="X28" s="40"/>
      <c r="AD28" s="21" t="s">
        <v>62</v>
      </c>
      <c r="AE28" s="117">
        <f>$AF$11*SQRT((AE5*AE6+AF12/4)/D7)/(1+AF12)</f>
        <v>0.033462491633154824</v>
      </c>
      <c r="AF28" s="21"/>
      <c r="AH28" s="97"/>
      <c r="AI28" s="97"/>
    </row>
    <row r="29" spans="2:35" ht="12.75">
      <c r="B29" s="57"/>
      <c r="C29" s="63"/>
      <c r="D29" s="57"/>
      <c r="H29" s="64"/>
      <c r="I29" s="59"/>
      <c r="L29" s="39" t="s">
        <v>40</v>
      </c>
      <c r="M29" s="48">
        <f>$B$18*SQRT(N25*(1-N25)/B27)</f>
        <v>0.11802154073831989</v>
      </c>
      <c r="N29" s="51"/>
      <c r="P29" s="49"/>
      <c r="Q29" s="40"/>
      <c r="R29" s="61"/>
      <c r="S29" s="62"/>
      <c r="T29" s="49"/>
      <c r="U29" s="49"/>
      <c r="V29" s="40"/>
      <c r="W29" s="40"/>
      <c r="X29" s="40"/>
      <c r="AD29" s="30" t="s">
        <v>63</v>
      </c>
      <c r="AE29" s="120">
        <f>AE27+AE28</f>
        <v>0.7710758765644827</v>
      </c>
      <c r="AF29" s="21"/>
      <c r="AH29" s="43"/>
      <c r="AI29" s="99"/>
    </row>
    <row r="30" spans="2:35" ht="12.75">
      <c r="B30" s="57"/>
      <c r="C30" s="57"/>
      <c r="D30" s="57"/>
      <c r="H30" s="41"/>
      <c r="L30" s="37" t="s">
        <v>41</v>
      </c>
      <c r="M30" s="48"/>
      <c r="N30" s="59" t="b">
        <f>ABS(M28)&gt;M29</f>
        <v>1</v>
      </c>
      <c r="P30" s="40"/>
      <c r="Q30" s="40"/>
      <c r="R30" s="60"/>
      <c r="S30" s="40"/>
      <c r="T30" s="49"/>
      <c r="U30" s="40"/>
      <c r="V30" s="40"/>
      <c r="W30" s="40"/>
      <c r="X30" s="40"/>
      <c r="AD30" s="32" t="s">
        <v>64</v>
      </c>
      <c r="AE30" s="121">
        <f>AE27-AE28</f>
        <v>0.704150893298173</v>
      </c>
      <c r="AF30" s="122" t="str">
        <f>IF($AF5&gt;AE29,"s+",IF($AF5&lt;AE30,"s-","ns"))</f>
        <v>s-</v>
      </c>
      <c r="AH30" s="43"/>
      <c r="AI30" s="99"/>
    </row>
    <row r="31" spans="2:35" ht="12.75">
      <c r="B31" s="57"/>
      <c r="C31" s="57"/>
      <c r="D31" s="57" t="s">
        <v>68</v>
      </c>
      <c r="H31" s="41"/>
      <c r="I31" s="41"/>
      <c r="K31" s="65"/>
      <c r="L31" s="65"/>
      <c r="M31" s="66"/>
      <c r="N31" s="67"/>
      <c r="P31" s="65"/>
      <c r="Q31" s="65"/>
      <c r="R31" s="65"/>
      <c r="S31" s="65"/>
      <c r="T31" s="66"/>
      <c r="U31" s="65"/>
      <c r="V31" s="65"/>
      <c r="W31" s="65"/>
      <c r="X31" s="65"/>
      <c r="AD31" s="21"/>
      <c r="AE31" s="34"/>
      <c r="AF31" s="32"/>
      <c r="AH31" s="97"/>
      <c r="AI31" s="97"/>
    </row>
    <row r="32" spans="1:35" ht="12.75">
      <c r="A32" s="41" t="s">
        <v>42</v>
      </c>
      <c r="B32" s="41" t="str">
        <f>B5</f>
        <v>b</v>
      </c>
      <c r="C32" s="41" t="str">
        <f>B6</f>
        <v>¬b</v>
      </c>
      <c r="D32" s="41" t="str">
        <f>A5</f>
        <v>B</v>
      </c>
      <c r="F32" t="s">
        <v>24</v>
      </c>
      <c r="H32" s="44" t="s">
        <v>25</v>
      </c>
      <c r="J32" s="68">
        <f>SUM(C25:C26)</f>
        <v>659</v>
      </c>
      <c r="L32" s="37"/>
      <c r="M32" s="39" t="str">
        <f>B32</f>
        <v>b</v>
      </c>
      <c r="N32" s="37"/>
      <c r="P32" s="39" t="str">
        <f>B32</f>
        <v>b</v>
      </c>
      <c r="Q32" s="37"/>
      <c r="R32" s="37" t="s">
        <v>27</v>
      </c>
      <c r="S32" s="37" t="s">
        <v>28</v>
      </c>
      <c r="T32" s="37" t="s">
        <v>29</v>
      </c>
      <c r="U32" t="s">
        <v>30</v>
      </c>
      <c r="V32" t="s">
        <v>31</v>
      </c>
      <c r="W32" s="40" t="s">
        <v>32</v>
      </c>
      <c r="X32" s="40" t="s">
        <v>33</v>
      </c>
      <c r="AD32" s="21"/>
      <c r="AE32" s="21"/>
      <c r="AF32" s="21"/>
      <c r="AH32" s="97"/>
      <c r="AI32" s="97"/>
    </row>
    <row r="33" spans="1:35" ht="12.75">
      <c r="A33" s="41" t="str">
        <f>C4</f>
        <v>a</v>
      </c>
      <c r="B33" s="143">
        <f>B25</f>
        <v>2</v>
      </c>
      <c r="C33" s="150">
        <f>B26</f>
        <v>58</v>
      </c>
      <c r="D33" s="102">
        <f>SUM(B33:C33)</f>
        <v>60</v>
      </c>
      <c r="E33" s="45"/>
      <c r="F33" s="46">
        <f>$D33*B$35/$D$35</f>
        <v>40.80667593880389</v>
      </c>
      <c r="G33" s="46"/>
      <c r="H33" s="46"/>
      <c r="I33" s="46">
        <f>(B33-F33)^2/F33</f>
        <v>36.904699115354674</v>
      </c>
      <c r="J33" s="46"/>
      <c r="L33" s="47" t="s">
        <v>34</v>
      </c>
      <c r="M33" s="48">
        <f>B33/$B35</f>
        <v>0.00408997955010225</v>
      </c>
      <c r="N33" s="48">
        <f>D33/D35</f>
        <v>0.08344923504867872</v>
      </c>
      <c r="P33" s="47" t="s">
        <v>34</v>
      </c>
      <c r="Q33" s="48">
        <f>M33</f>
        <v>0.00408997955010225</v>
      </c>
      <c r="R33" s="37">
        <f>$B$18^2/B35</f>
        <v>0.007855720744808945</v>
      </c>
      <c r="S33" s="48">
        <f>(Q33+R33/2)/(1+R33)</f>
        <v>0.007955344954118542</v>
      </c>
      <c r="T33" s="48">
        <f>$B$18*SQRT((Q33*(1-Q33)+R33/4)/B35)/(1+R33)</f>
        <v>0.006833005657340557</v>
      </c>
      <c r="U33" s="48">
        <f>S33+T33</f>
        <v>0.014788350611459099</v>
      </c>
      <c r="V33" s="48">
        <f>S33-T33</f>
        <v>0.0011223392967779858</v>
      </c>
      <c r="W33" s="49">
        <f>U33-Q33</f>
        <v>0.010698371061356848</v>
      </c>
      <c r="X33" s="50">
        <f>Q33-V33</f>
        <v>0.002967640253324264</v>
      </c>
      <c r="Z33" t="s">
        <v>54</v>
      </c>
      <c r="AD33" s="21" t="s">
        <v>65</v>
      </c>
      <c r="AE33" s="21"/>
      <c r="AF33" s="21"/>
      <c r="AH33" s="97"/>
      <c r="AI33" s="97"/>
    </row>
    <row r="34" spans="1:14" ht="12.75">
      <c r="A34" s="41" t="str">
        <f>D4</f>
        <v>¬a</v>
      </c>
      <c r="B34" s="145">
        <f>C25</f>
        <v>487</v>
      </c>
      <c r="C34" s="149">
        <f>C26</f>
        <v>172</v>
      </c>
      <c r="D34" s="103">
        <f>SUM(B34:C34)</f>
        <v>659</v>
      </c>
      <c r="E34" s="45"/>
      <c r="F34" s="46">
        <f>$D34*B$35/$D$35</f>
        <v>448.1933240611961</v>
      </c>
      <c r="G34" s="46"/>
      <c r="H34" s="46"/>
      <c r="I34" s="46">
        <f>(B34-F34)^2/F34</f>
        <v>3.3600636523843406</v>
      </c>
      <c r="J34" s="46"/>
      <c r="L34" s="47" t="s">
        <v>35</v>
      </c>
      <c r="M34" s="51"/>
      <c r="N34" s="52"/>
    </row>
    <row r="35" spans="2:28" ht="12.75">
      <c r="B35" s="69">
        <f>SUM(B33:B34)</f>
        <v>489</v>
      </c>
      <c r="C35" s="70">
        <f>SUM(C33:C34)</f>
        <v>230</v>
      </c>
      <c r="D35" s="71">
        <f>SUM(D33:D34)</f>
        <v>719</v>
      </c>
      <c r="E35" s="45"/>
      <c r="F35" s="46"/>
      <c r="G35" s="46"/>
      <c r="H35" s="55" t="s">
        <v>25</v>
      </c>
      <c r="I35" s="52">
        <f>SUM(I33:I34)</f>
        <v>40.264762767739015</v>
      </c>
      <c r="J35" s="46"/>
      <c r="L35" s="47"/>
      <c r="M35" s="48"/>
      <c r="N35" s="37"/>
      <c r="P35" s="56" t="s">
        <v>43</v>
      </c>
      <c r="Q35" s="48">
        <f>N33</f>
        <v>0.08344923504867872</v>
      </c>
      <c r="R35" s="48">
        <f>$B$18^2/D35</f>
        <v>0.005342764178319297</v>
      </c>
      <c r="S35" s="48">
        <f>(Q35+R35/2)/(1+R35)</f>
        <v>0.0856629402492651</v>
      </c>
      <c r="T35" s="48">
        <f>$B$18*SQRT((Q35*(1-Q35)+R35/4)/D35)/(1+R35)</f>
        <v>0.020282321938017957</v>
      </c>
      <c r="U35" s="48">
        <f>S35+T35</f>
        <v>0.10594526218728306</v>
      </c>
      <c r="V35" s="48">
        <f>S35-T35</f>
        <v>0.06538061831124714</v>
      </c>
      <c r="W35" s="49">
        <f>U35-Q35</f>
        <v>0.022496027138604338</v>
      </c>
      <c r="X35" s="50">
        <f>Q35-V35</f>
        <v>0.018068616737431584</v>
      </c>
      <c r="Z35" t="s">
        <v>55</v>
      </c>
      <c r="AA35" t="s">
        <v>56</v>
      </c>
      <c r="AB35" t="s">
        <v>57</v>
      </c>
    </row>
    <row r="36" spans="6:28" ht="12.75">
      <c r="F36" s="46"/>
      <c r="G36" s="46"/>
      <c r="H36" s="58" t="s">
        <v>37</v>
      </c>
      <c r="I36" s="52">
        <f>CHIDIST(I35,1)</f>
        <v>2.2177314716301508E-10</v>
      </c>
      <c r="J36" s="46"/>
      <c r="K36" t="s">
        <v>38</v>
      </c>
      <c r="L36" s="39" t="s">
        <v>44</v>
      </c>
      <c r="M36" s="59">
        <f>M33-N33</f>
        <v>-0.07935925549857648</v>
      </c>
      <c r="N36" s="51"/>
      <c r="P36" s="40"/>
      <c r="Q36" s="40"/>
      <c r="R36" s="40"/>
      <c r="S36" s="40"/>
      <c r="T36" s="40"/>
      <c r="U36" s="49"/>
      <c r="V36" s="40"/>
      <c r="W36" s="40"/>
      <c r="X36" s="40"/>
      <c r="Z36" s="45">
        <f>M28</f>
        <v>-0.6467779323133982</v>
      </c>
      <c r="AA36" s="45">
        <f>M36</f>
        <v>-0.07935925549857648</v>
      </c>
      <c r="AB36" s="45">
        <f>M40</f>
        <v>-0.5674186768148217</v>
      </c>
    </row>
    <row r="37" spans="2:28" ht="12.75">
      <c r="B37" s="41" t="s">
        <v>72</v>
      </c>
      <c r="D37" s="41"/>
      <c r="H37" s="64"/>
      <c r="I37" s="59"/>
      <c r="L37" s="39" t="s">
        <v>40</v>
      </c>
      <c r="M37" s="48">
        <f>$B$18*SQRT(N33*(1-N33)/B35)</f>
        <v>0.024512209539625084</v>
      </c>
      <c r="N37" s="51"/>
      <c r="P37" s="49"/>
      <c r="Q37" s="40"/>
      <c r="R37" s="40"/>
      <c r="S37" s="40"/>
      <c r="T37" s="40"/>
      <c r="U37" s="49"/>
      <c r="V37" s="40"/>
      <c r="W37" s="40"/>
      <c r="X37" s="40"/>
      <c r="Z37" s="45">
        <f>M29</f>
        <v>0.11802154073831989</v>
      </c>
      <c r="AA37" s="45">
        <f>M37</f>
        <v>0.024512209539625084</v>
      </c>
      <c r="AB37" s="45">
        <f>M41</f>
        <v>0.12054016963137802</v>
      </c>
    </row>
    <row r="38" spans="12:24" ht="12.75">
      <c r="L38" s="37" t="s">
        <v>41</v>
      </c>
      <c r="M38" s="48"/>
      <c r="N38" s="59" t="b">
        <f>ABS(M36)&gt;M37</f>
        <v>1</v>
      </c>
      <c r="P38" s="40"/>
      <c r="Q38" s="40"/>
      <c r="R38" s="40"/>
      <c r="S38" s="40"/>
      <c r="T38" s="49"/>
      <c r="U38" s="40"/>
      <c r="V38" s="40"/>
      <c r="W38" s="40"/>
      <c r="X38" s="40"/>
    </row>
    <row r="39" spans="12:28" ht="12.75">
      <c r="L39" s="40"/>
      <c r="M39" s="40"/>
      <c r="N39" s="40"/>
      <c r="P39" s="40"/>
      <c r="Q39" s="73" t="s">
        <v>40</v>
      </c>
      <c r="R39" s="74">
        <f>-SQRT(W25^2+X33^2)</f>
        <v>-0.08035905337610343</v>
      </c>
      <c r="S39" s="75">
        <f>R39/Q33</f>
        <v>-19.647788550457285</v>
      </c>
      <c r="T39" s="76" t="s">
        <v>31</v>
      </c>
      <c r="U39" s="40"/>
      <c r="V39" s="40"/>
      <c r="W39" s="40"/>
      <c r="X39" s="40"/>
      <c r="Z39" s="45">
        <f>Z36</f>
        <v>-0.6467779323133982</v>
      </c>
      <c r="AA39" s="45">
        <f>AA36</f>
        <v>-0.07935925549857648</v>
      </c>
      <c r="AB39" s="45">
        <f>AB36</f>
        <v>-0.5674186768148217</v>
      </c>
    </row>
    <row r="40" spans="10:28" ht="12.75">
      <c r="J40" s="41" t="s">
        <v>47</v>
      </c>
      <c r="K40" s="77"/>
      <c r="L40" s="78" t="s">
        <v>48</v>
      </c>
      <c r="M40" s="74">
        <f>M28-M36</f>
        <v>-0.5674186768148217</v>
      </c>
      <c r="N40" s="79" t="s">
        <v>49</v>
      </c>
      <c r="P40" s="40"/>
      <c r="Q40" s="80"/>
      <c r="R40" s="81">
        <f>SQRT(X25^2+W33^2)</f>
        <v>0.026408101200698704</v>
      </c>
      <c r="S40" s="82">
        <f>R40/Q33</f>
        <v>6.456780743570833</v>
      </c>
      <c r="T40" s="83" t="s">
        <v>30</v>
      </c>
      <c r="U40" s="84"/>
      <c r="W40" s="40"/>
      <c r="X40" s="85"/>
      <c r="Z40" s="45">
        <f>W25</f>
        <v>0.08030423756459112</v>
      </c>
      <c r="AA40" s="45">
        <f>W33</f>
        <v>0.010698371061356848</v>
      </c>
      <c r="AB40" s="45">
        <f>-R39</f>
        <v>0.08035905337610343</v>
      </c>
    </row>
    <row r="41" spans="4:28" ht="12.75">
      <c r="D41" s="86"/>
      <c r="K41" s="87"/>
      <c r="L41" s="88" t="s">
        <v>50</v>
      </c>
      <c r="M41" s="89">
        <f>SQRT(M37^2+M29^2)</f>
        <v>0.12054016963137802</v>
      </c>
      <c r="N41" s="90" t="b">
        <f>ABS(M40)&gt;M41</f>
        <v>1</v>
      </c>
      <c r="P41" s="49"/>
      <c r="Q41" s="91"/>
      <c r="R41" s="88" t="str">
        <f>IF(M40&gt;R40,"s (d2&lt;d1)",IF(M40&lt;R39,"s (d2&gt;d1)","ns"))</f>
        <v>s (d2&gt;d1)</v>
      </c>
      <c r="S41" s="92"/>
      <c r="T41" s="93"/>
      <c r="U41" s="84"/>
      <c r="W41" s="40"/>
      <c r="X41" s="40"/>
      <c r="Z41" s="45">
        <f>X25</f>
        <v>0.02414399854332059</v>
      </c>
      <c r="AA41" s="45">
        <f>X33</f>
        <v>0.002967640253324264</v>
      </c>
      <c r="AB41" s="45">
        <f>R40</f>
        <v>0.026408101200698704</v>
      </c>
    </row>
    <row r="42" spans="4:24" ht="12.75">
      <c r="D42" s="112"/>
      <c r="E42" s="112"/>
      <c r="F42" s="112"/>
      <c r="G42" s="112"/>
      <c r="H42" s="112"/>
      <c r="I42" s="112"/>
      <c r="J42" s="94"/>
      <c r="W42" s="40"/>
      <c r="X42" s="95"/>
    </row>
    <row r="43" spans="4:24" ht="12.75">
      <c r="D43" s="112"/>
      <c r="E43" s="112"/>
      <c r="F43" s="112"/>
      <c r="G43" s="112"/>
      <c r="H43" s="96"/>
      <c r="I43" s="112"/>
      <c r="J43" s="94"/>
      <c r="L43" s="55" t="s">
        <v>25</v>
      </c>
      <c r="M43" s="81">
        <f>(M40/(M41/B18))^2</f>
        <v>85.12135976777822</v>
      </c>
      <c r="N43" s="97"/>
      <c r="P43" s="98"/>
      <c r="Q43" s="43"/>
      <c r="R43" s="97"/>
      <c r="S43" s="98"/>
      <c r="U43" s="97"/>
      <c r="W43" s="40"/>
      <c r="X43" s="40"/>
    </row>
    <row r="44" spans="1:23" ht="12.75">
      <c r="A44" s="112"/>
      <c r="B44" s="114"/>
      <c r="C44" s="114"/>
      <c r="D44" s="114"/>
      <c r="E44" s="112"/>
      <c r="F44" s="115"/>
      <c r="G44" s="112"/>
      <c r="H44" s="115"/>
      <c r="I44" s="115"/>
      <c r="J44" s="94"/>
      <c r="L44" s="58" t="s">
        <v>37</v>
      </c>
      <c r="M44" s="59">
        <f>CHIDIST(M43,1)</f>
        <v>2.806028806770424E-20</v>
      </c>
      <c r="N44" s="61" t="b">
        <f>M44&lt;0.05</f>
        <v>1</v>
      </c>
      <c r="O44" s="43"/>
      <c r="P44" s="99"/>
      <c r="R44" s="100"/>
      <c r="S44" s="99"/>
      <c r="U44" s="97"/>
      <c r="V44" s="49"/>
      <c r="W44" s="40"/>
    </row>
    <row r="45" spans="1:23" ht="12.75">
      <c r="A45" s="112"/>
      <c r="B45" s="114"/>
      <c r="C45" s="114"/>
      <c r="D45" s="114"/>
      <c r="E45" s="112"/>
      <c r="F45" s="115"/>
      <c r="G45" s="112"/>
      <c r="H45" s="115"/>
      <c r="I45" s="115"/>
      <c r="J45" s="94"/>
      <c r="M45" s="100"/>
      <c r="N45" s="100"/>
      <c r="O45" s="97"/>
      <c r="P45" s="99"/>
      <c r="Q45" s="50"/>
      <c r="R45" s="100"/>
      <c r="S45" s="60"/>
      <c r="U45" s="97"/>
      <c r="V45" s="101"/>
      <c r="W45" s="40"/>
    </row>
    <row r="46" ht="18">
      <c r="A46" s="36" t="s">
        <v>74</v>
      </c>
    </row>
    <row r="47" spans="1:24" ht="12.75">
      <c r="A47" t="s">
        <v>67</v>
      </c>
      <c r="L47" s="37"/>
      <c r="M47" s="38" t="s">
        <v>17</v>
      </c>
      <c r="N47" s="37"/>
      <c r="P47" s="37"/>
      <c r="Q47" s="39" t="s">
        <v>18</v>
      </c>
      <c r="R47" s="37"/>
      <c r="S47" s="37"/>
      <c r="T47" s="37"/>
      <c r="W47" s="40"/>
      <c r="X47" s="40"/>
    </row>
    <row r="48" spans="4:24" ht="12.75">
      <c r="D48" t="s">
        <v>70</v>
      </c>
      <c r="H48" s="41" t="s">
        <v>19</v>
      </c>
      <c r="L48" s="37"/>
      <c r="M48" s="37"/>
      <c r="N48" s="37"/>
      <c r="P48" s="37"/>
      <c r="Q48" s="37" t="s">
        <v>20</v>
      </c>
      <c r="R48" s="37"/>
      <c r="S48" s="37"/>
      <c r="T48" s="37"/>
      <c r="U48" t="s">
        <v>21</v>
      </c>
      <c r="W48" s="40"/>
      <c r="X48" s="40"/>
    </row>
    <row r="49" spans="1:24" ht="12.75">
      <c r="A49" s="41" t="s">
        <v>22</v>
      </c>
      <c r="B49" s="41" t="str">
        <f>D4</f>
        <v>¬a</v>
      </c>
      <c r="C49" s="42" t="str">
        <f>C4</f>
        <v>a</v>
      </c>
      <c r="D49" s="43" t="str">
        <f>E4</f>
        <v>total</v>
      </c>
      <c r="F49" t="s">
        <v>24</v>
      </c>
      <c r="H49" s="44" t="s">
        <v>25</v>
      </c>
      <c r="L49" s="37"/>
      <c r="M49" s="39" t="str">
        <f>B49</f>
        <v>¬a</v>
      </c>
      <c r="N49" s="37" t="s">
        <v>26</v>
      </c>
      <c r="P49" s="39" t="str">
        <f>B49</f>
        <v>¬a</v>
      </c>
      <c r="Q49" s="37"/>
      <c r="R49" s="37" t="s">
        <v>27</v>
      </c>
      <c r="S49" s="37" t="s">
        <v>28</v>
      </c>
      <c r="T49" s="37" t="s">
        <v>29</v>
      </c>
      <c r="U49" t="s">
        <v>30</v>
      </c>
      <c r="V49" t="s">
        <v>31</v>
      </c>
      <c r="W49" s="40" t="s">
        <v>32</v>
      </c>
      <c r="X49" s="40" t="s">
        <v>33</v>
      </c>
    </row>
    <row r="50" spans="1:24" ht="12.75">
      <c r="A50" s="41" t="str">
        <f>B5</f>
        <v>b</v>
      </c>
      <c r="B50" s="143">
        <f>D5</f>
        <v>487</v>
      </c>
      <c r="C50" s="148">
        <f>C5</f>
        <v>2</v>
      </c>
      <c r="D50" s="102">
        <f>SUM(B50:C50)</f>
        <v>489</v>
      </c>
      <c r="E50" s="45"/>
      <c r="F50" s="46">
        <f>$D50*B$52/$D$52</f>
        <v>448.1933240611961</v>
      </c>
      <c r="G50" s="46"/>
      <c r="H50" s="46"/>
      <c r="I50" s="46">
        <f>(B50-F50)^2/F50</f>
        <v>3.3600636523843406</v>
      </c>
      <c r="J50" s="46"/>
      <c r="L50" s="47" t="s">
        <v>34</v>
      </c>
      <c r="M50" s="48">
        <f>B50/$B52</f>
        <v>0.7389984825493171</v>
      </c>
      <c r="N50" s="48">
        <f>D50/D52</f>
        <v>0.6801112656467315</v>
      </c>
      <c r="P50" s="47" t="s">
        <v>34</v>
      </c>
      <c r="Q50" s="48">
        <f>M50</f>
        <v>0.7389984825493171</v>
      </c>
      <c r="R50" s="37">
        <f>$B$18^2/B52</f>
        <v>0.005829207047362024</v>
      </c>
      <c r="S50" s="48">
        <f>(Q50+R50/2)/(1+R50)</f>
        <v>0.7376133849313279</v>
      </c>
      <c r="T50" s="48">
        <f>$B$18*SQRT((Q50*(1-Q50)+R50/4)/B52)/(1+R50)</f>
        <v>0.033462491633154824</v>
      </c>
      <c r="U50" s="48">
        <f>S50+T50</f>
        <v>0.7710758765644827</v>
      </c>
      <c r="V50" s="48">
        <f>S50-T50</f>
        <v>0.704150893298173</v>
      </c>
      <c r="W50" s="49">
        <f>U50-Q50</f>
        <v>0.03207739401516563</v>
      </c>
      <c r="X50" s="50">
        <f>Q50-V50</f>
        <v>0.03484758925114406</v>
      </c>
    </row>
    <row r="51" spans="1:14" ht="12.75">
      <c r="A51" s="41" t="str">
        <f>B6</f>
        <v>¬b</v>
      </c>
      <c r="B51" s="147">
        <f>D6</f>
        <v>172</v>
      </c>
      <c r="C51" s="149">
        <f>C6</f>
        <v>58</v>
      </c>
      <c r="D51" s="103">
        <f>SUM(B51:C51)</f>
        <v>230</v>
      </c>
      <c r="E51" s="45"/>
      <c r="F51" s="46">
        <f>$D51*B$52/$D$52</f>
        <v>210.8066759388039</v>
      </c>
      <c r="G51" s="46"/>
      <c r="H51" s="46"/>
      <c r="I51" s="46">
        <f>(B51-F51)^2/F51</f>
        <v>7.1437875044171415</v>
      </c>
      <c r="J51" s="46"/>
      <c r="L51" s="47" t="s">
        <v>35</v>
      </c>
      <c r="M51" s="51"/>
      <c r="N51" s="52"/>
    </row>
    <row r="52" spans="2:24" ht="12.75">
      <c r="B52" s="105">
        <f>SUM(B50:B51)</f>
        <v>659</v>
      </c>
      <c r="C52" s="104">
        <f>SUM(C50:C51)</f>
        <v>60</v>
      </c>
      <c r="D52" s="54">
        <f>SUM(D50:D51)</f>
        <v>719</v>
      </c>
      <c r="E52" s="45"/>
      <c r="F52" s="46"/>
      <c r="G52" s="46"/>
      <c r="H52" s="55" t="s">
        <v>25</v>
      </c>
      <c r="I52" s="52">
        <f>SUM(I50:I51)</f>
        <v>10.503851156801481</v>
      </c>
      <c r="J52" s="46"/>
      <c r="L52" s="47"/>
      <c r="M52" s="48"/>
      <c r="N52" s="37"/>
      <c r="P52" s="56" t="s">
        <v>36</v>
      </c>
      <c r="Q52" s="48">
        <f>N50</f>
        <v>0.6801112656467315</v>
      </c>
      <c r="R52" s="48">
        <f>$B$18^2/D52</f>
        <v>0.005342764178319297</v>
      </c>
      <c r="S52" s="48">
        <f>(Q52+R52/2)/(1+R52)</f>
        <v>0.6791540876050757</v>
      </c>
      <c r="T52" s="48">
        <f>$B$18*SQRT((Q52*(1-Q52)+R52/4)/D52)/(1+R52)</f>
        <v>0.03401632444040361</v>
      </c>
      <c r="U52" s="48">
        <f>S52+T52</f>
        <v>0.7131704120454793</v>
      </c>
      <c r="V52" s="48">
        <f>S52-T52</f>
        <v>0.6451377631646721</v>
      </c>
      <c r="W52" s="49">
        <f>U52-Q52</f>
        <v>0.03305914639874774</v>
      </c>
      <c r="X52" s="50">
        <f>Q52-V52</f>
        <v>0.03497350248205944</v>
      </c>
    </row>
    <row r="53" spans="2:24" ht="12.75">
      <c r="B53" s="57"/>
      <c r="C53" s="57"/>
      <c r="D53" s="57"/>
      <c r="F53" s="46"/>
      <c r="G53" s="46"/>
      <c r="H53" s="58" t="s">
        <v>37</v>
      </c>
      <c r="I53" s="52">
        <f>CHIDIST(I52,1)</f>
        <v>0.001191260050583865</v>
      </c>
      <c r="J53" s="46"/>
      <c r="K53" t="s">
        <v>38</v>
      </c>
      <c r="L53" s="39" t="s">
        <v>39</v>
      </c>
      <c r="M53" s="59">
        <f>M50-N50</f>
        <v>0.05888721690258558</v>
      </c>
      <c r="N53" s="52"/>
      <c r="P53" s="40"/>
      <c r="Q53" s="60"/>
      <c r="R53" s="61"/>
      <c r="S53" s="62"/>
      <c r="T53" s="40"/>
      <c r="U53" s="49"/>
      <c r="V53" s="40"/>
      <c r="W53" s="40"/>
      <c r="X53" s="40"/>
    </row>
    <row r="54" spans="2:24" ht="12.75">
      <c r="B54" s="57"/>
      <c r="C54" s="63"/>
      <c r="D54" s="57"/>
      <c r="H54" s="64"/>
      <c r="I54" s="59"/>
      <c r="L54" s="39" t="s">
        <v>40</v>
      </c>
      <c r="M54" s="48">
        <f>$B$18*SQRT(N50*(1-N50)/B52)</f>
        <v>0.03561182231735686</v>
      </c>
      <c r="N54" s="51"/>
      <c r="P54" s="49"/>
      <c r="Q54" s="40"/>
      <c r="R54" s="61"/>
      <c r="S54" s="62"/>
      <c r="T54" s="49"/>
      <c r="U54" s="49"/>
      <c r="V54" s="40"/>
      <c r="W54" s="40"/>
      <c r="X54" s="40"/>
    </row>
    <row r="55" spans="2:24" ht="12.75">
      <c r="B55" s="57"/>
      <c r="C55" s="57"/>
      <c r="D55" s="57"/>
      <c r="H55" s="41"/>
      <c r="L55" s="37" t="s">
        <v>41</v>
      </c>
      <c r="M55" s="48"/>
      <c r="N55" s="59" t="b">
        <f>ABS(M53)&gt;M54</f>
        <v>1</v>
      </c>
      <c r="P55" s="40"/>
      <c r="Q55" s="40"/>
      <c r="R55" s="60"/>
      <c r="S55" s="40"/>
      <c r="T55" s="49"/>
      <c r="U55" s="40"/>
      <c r="V55" s="40"/>
      <c r="W55" s="40"/>
      <c r="X55" s="40"/>
    </row>
    <row r="56" spans="2:24" ht="12.75">
      <c r="B56" s="57"/>
      <c r="C56" s="57"/>
      <c r="D56" s="57" t="s">
        <v>71</v>
      </c>
      <c r="H56" s="41"/>
      <c r="I56" s="41"/>
      <c r="K56" s="65"/>
      <c r="L56" s="65"/>
      <c r="M56" s="66"/>
      <c r="N56" s="67"/>
      <c r="P56" s="65"/>
      <c r="Q56" s="65"/>
      <c r="R56" s="65"/>
      <c r="S56" s="65"/>
      <c r="T56" s="66"/>
      <c r="U56" s="65"/>
      <c r="V56" s="65"/>
      <c r="W56" s="65"/>
      <c r="X56" s="65"/>
    </row>
    <row r="57" spans="1:24" ht="12.75">
      <c r="A57" s="41" t="s">
        <v>42</v>
      </c>
      <c r="B57" s="41" t="str">
        <f>A50</f>
        <v>b</v>
      </c>
      <c r="C57" s="41" t="str">
        <f>A51</f>
        <v>¬b</v>
      </c>
      <c r="D57" s="41" t="str">
        <f>D49</f>
        <v>total</v>
      </c>
      <c r="F57" t="s">
        <v>24</v>
      </c>
      <c r="H57" s="44" t="s">
        <v>25</v>
      </c>
      <c r="J57" s="68">
        <f>SUM(C50:C51)</f>
        <v>60</v>
      </c>
      <c r="L57" s="37"/>
      <c r="M57" s="39" t="str">
        <f>B57</f>
        <v>b</v>
      </c>
      <c r="N57" s="37"/>
      <c r="P57" s="39" t="str">
        <f>B57</f>
        <v>b</v>
      </c>
      <c r="Q57" s="37"/>
      <c r="R57" s="37" t="s">
        <v>27</v>
      </c>
      <c r="S57" s="37" t="s">
        <v>28</v>
      </c>
      <c r="T57" s="37" t="s">
        <v>29</v>
      </c>
      <c r="U57" t="s">
        <v>30</v>
      </c>
      <c r="V57" t="s">
        <v>31</v>
      </c>
      <c r="W57" s="40" t="s">
        <v>32</v>
      </c>
      <c r="X57" s="40" t="s">
        <v>33</v>
      </c>
    </row>
    <row r="58" spans="1:26" ht="12.75">
      <c r="A58" s="41" t="str">
        <f>B49</f>
        <v>¬a</v>
      </c>
      <c r="B58" s="143">
        <f>B50</f>
        <v>487</v>
      </c>
      <c r="C58" s="148">
        <f>B51</f>
        <v>172</v>
      </c>
      <c r="D58" s="102">
        <f>SUM(B58:C58)</f>
        <v>659</v>
      </c>
      <c r="E58" s="45"/>
      <c r="F58" s="46">
        <f>$D58*B$60/$D$60</f>
        <v>448.1933240611961</v>
      </c>
      <c r="G58" s="46"/>
      <c r="H58" s="46"/>
      <c r="I58" s="46">
        <f>(B58-F58)^2/F58</f>
        <v>3.3600636523843406</v>
      </c>
      <c r="J58" s="46"/>
      <c r="L58" s="47" t="s">
        <v>34</v>
      </c>
      <c r="M58" s="48">
        <f>B58/$B60</f>
        <v>0.9959100204498977</v>
      </c>
      <c r="N58" s="48">
        <f>D58/D60</f>
        <v>0.9165507649513213</v>
      </c>
      <c r="P58" s="47" t="s">
        <v>34</v>
      </c>
      <c r="Q58" s="48">
        <f>M58</f>
        <v>0.9959100204498977</v>
      </c>
      <c r="R58" s="37">
        <f>$B$18^2/B60</f>
        <v>0.007855720744808945</v>
      </c>
      <c r="S58" s="48">
        <f>(Q58+R58/2)/(1+R58)</f>
        <v>0.9920446550458815</v>
      </c>
      <c r="T58" s="48">
        <f>$B$18*SQRT((Q58*(1-Q58)+R58/4)/B60)/(1+R58)</f>
        <v>0.006833005657340564</v>
      </c>
      <c r="U58" s="48">
        <f>S58+T58</f>
        <v>0.998877660703222</v>
      </c>
      <c r="V58" s="48">
        <f>S58-T58</f>
        <v>0.9852116493885409</v>
      </c>
      <c r="W58" s="49">
        <f>U58-Q58</f>
        <v>0.0029676402533242996</v>
      </c>
      <c r="X58" s="50">
        <f>Q58-V58</f>
        <v>0.010698371061356848</v>
      </c>
      <c r="Z58" t="s">
        <v>54</v>
      </c>
    </row>
    <row r="59" spans="1:14" ht="12.75">
      <c r="A59" s="41" t="str">
        <f>C49</f>
        <v>a</v>
      </c>
      <c r="B59" s="147">
        <f>C50</f>
        <v>2</v>
      </c>
      <c r="C59" s="149">
        <f>C51</f>
        <v>58</v>
      </c>
      <c r="D59" s="103">
        <f>SUM(B59:C59)</f>
        <v>60</v>
      </c>
      <c r="E59" s="45"/>
      <c r="F59" s="46">
        <f>$D59*B$60/$D$60</f>
        <v>40.80667593880389</v>
      </c>
      <c r="G59" s="46"/>
      <c r="H59" s="46"/>
      <c r="I59" s="46">
        <f>(B59-F59)^2/F59</f>
        <v>36.904699115354674</v>
      </c>
      <c r="J59" s="46"/>
      <c r="L59" s="47" t="s">
        <v>35</v>
      </c>
      <c r="M59" s="51"/>
      <c r="N59" s="52"/>
    </row>
    <row r="60" spans="2:28" ht="12.75">
      <c r="B60" s="69">
        <f>SUM(B58:B59)</f>
        <v>489</v>
      </c>
      <c r="C60" s="70">
        <f>SUM(C58:C59)</f>
        <v>230</v>
      </c>
      <c r="D60" s="71">
        <f>SUM(D58:D59)</f>
        <v>719</v>
      </c>
      <c r="E60" s="45"/>
      <c r="F60" s="46"/>
      <c r="G60" s="46"/>
      <c r="H60" s="55" t="s">
        <v>25</v>
      </c>
      <c r="I60" s="52">
        <f>SUM(I58:I59)</f>
        <v>40.264762767739015</v>
      </c>
      <c r="J60" s="46"/>
      <c r="L60" s="47"/>
      <c r="M60" s="48"/>
      <c r="N60" s="37"/>
      <c r="P60" s="56" t="s">
        <v>43</v>
      </c>
      <c r="Q60" s="48">
        <f>N58</f>
        <v>0.9165507649513213</v>
      </c>
      <c r="R60" s="48">
        <f>$B$18^2/D60</f>
        <v>0.005342764178319297</v>
      </c>
      <c r="S60" s="48">
        <f>(Q60+R60/2)/(1+R60)</f>
        <v>0.9143370597507349</v>
      </c>
      <c r="T60" s="48">
        <f>$B$18*SQRT((Q60*(1-Q60)+R60/4)/D60)/(1+R60)</f>
        <v>0.020282321938017957</v>
      </c>
      <c r="U60" s="48">
        <f>S60+T60</f>
        <v>0.9346193816887528</v>
      </c>
      <c r="V60" s="48">
        <f>S60-T60</f>
        <v>0.8940547378127169</v>
      </c>
      <c r="W60" s="49">
        <f>U60-Q60</f>
        <v>0.018068616737431542</v>
      </c>
      <c r="X60" s="50">
        <f>Q60-V60</f>
        <v>0.022496027138604324</v>
      </c>
      <c r="Z60" t="s">
        <v>55</v>
      </c>
      <c r="AA60" t="s">
        <v>56</v>
      </c>
      <c r="AB60" t="s">
        <v>57</v>
      </c>
    </row>
    <row r="61" spans="6:28" ht="12.75">
      <c r="F61" s="46"/>
      <c r="G61" s="46"/>
      <c r="H61" s="58" t="s">
        <v>37</v>
      </c>
      <c r="I61" s="52">
        <f>CHIDIST(I60,1)</f>
        <v>2.2177314716301508E-10</v>
      </c>
      <c r="J61" s="46"/>
      <c r="K61" t="s">
        <v>38</v>
      </c>
      <c r="L61" s="39" t="s">
        <v>44</v>
      </c>
      <c r="M61" s="59">
        <f>M58-N58</f>
        <v>0.07935925549857648</v>
      </c>
      <c r="N61" s="51"/>
      <c r="P61" s="40"/>
      <c r="Q61" s="40"/>
      <c r="R61" s="40"/>
      <c r="S61" s="40"/>
      <c r="T61" s="40"/>
      <c r="U61" s="49"/>
      <c r="V61" s="40"/>
      <c r="W61" s="40"/>
      <c r="X61" s="40"/>
      <c r="Z61" s="45">
        <f>M53</f>
        <v>0.05888721690258558</v>
      </c>
      <c r="AA61" s="45">
        <f>M61</f>
        <v>0.07935925549857648</v>
      </c>
      <c r="AB61" s="45">
        <f>M65</f>
        <v>-0.020472038595990893</v>
      </c>
    </row>
    <row r="62" spans="1:28" ht="12.75">
      <c r="A62" s="41"/>
      <c r="B62" s="41" t="s">
        <v>73</v>
      </c>
      <c r="C62" s="63"/>
      <c r="D62" s="41"/>
      <c r="H62" s="64"/>
      <c r="I62" s="59"/>
      <c r="L62" s="39" t="s">
        <v>40</v>
      </c>
      <c r="M62" s="48">
        <f>$B$18*SQRT(N58*(1-N58)/B60)</f>
        <v>0.024512209539625088</v>
      </c>
      <c r="N62" s="51"/>
      <c r="P62" s="49"/>
      <c r="Q62" s="40"/>
      <c r="R62" s="40"/>
      <c r="S62" s="40"/>
      <c r="T62" s="40"/>
      <c r="U62" s="49"/>
      <c r="V62" s="40"/>
      <c r="W62" s="40"/>
      <c r="X62" s="40"/>
      <c r="Z62" s="45">
        <f>M54</f>
        <v>0.03561182231735686</v>
      </c>
      <c r="AA62" s="45">
        <f>M62</f>
        <v>0.024512209539625088</v>
      </c>
      <c r="AB62" s="45">
        <f>M66</f>
        <v>0.043232514445466656</v>
      </c>
    </row>
    <row r="63" spans="1:24" ht="12.75">
      <c r="A63" s="41"/>
      <c r="B63" s="72"/>
      <c r="L63" s="37" t="s">
        <v>41</v>
      </c>
      <c r="M63" s="48"/>
      <c r="N63" s="59" t="b">
        <f>ABS(M61)&gt;M62</f>
        <v>1</v>
      </c>
      <c r="P63" s="40"/>
      <c r="Q63" s="40"/>
      <c r="R63" s="40"/>
      <c r="S63" s="40"/>
      <c r="T63" s="49"/>
      <c r="U63" s="40"/>
      <c r="V63" s="40"/>
      <c r="W63" s="40"/>
      <c r="X63" s="40"/>
    </row>
    <row r="64" spans="12:28" ht="12.75">
      <c r="L64" s="40"/>
      <c r="M64" s="40"/>
      <c r="N64" s="40"/>
      <c r="P64" s="40"/>
      <c r="Q64" s="73" t="s">
        <v>40</v>
      </c>
      <c r="R64" s="74">
        <f>-SQRT(W50^2+X58^2)</f>
        <v>-0.03381441039217838</v>
      </c>
      <c r="S64" s="75">
        <f>R64/Q58</f>
        <v>-0.03395327860734133</v>
      </c>
      <c r="T64" s="76" t="s">
        <v>31</v>
      </c>
      <c r="U64" s="40"/>
      <c r="V64" s="40"/>
      <c r="W64" s="40"/>
      <c r="X64" s="40"/>
      <c r="Z64" s="45">
        <f>Z61</f>
        <v>0.05888721690258558</v>
      </c>
      <c r="AA64" s="45">
        <f>AA61</f>
        <v>0.07935925549857648</v>
      </c>
      <c r="AB64" s="45">
        <f>AB61</f>
        <v>-0.020472038595990893</v>
      </c>
    </row>
    <row r="65" spans="10:28" ht="12.75">
      <c r="J65" s="41" t="s">
        <v>47</v>
      </c>
      <c r="K65" s="77"/>
      <c r="L65" s="78" t="s">
        <v>48</v>
      </c>
      <c r="M65" s="74">
        <f>M53-M61</f>
        <v>-0.020472038595990893</v>
      </c>
      <c r="N65" s="79" t="s">
        <v>49</v>
      </c>
      <c r="P65" s="40"/>
      <c r="Q65" s="80"/>
      <c r="R65" s="81">
        <f>SQRT(X50^2+W58^2)</f>
        <v>0.034973723926536644</v>
      </c>
      <c r="S65" s="82">
        <f>R65/Q58</f>
        <v>0.035117353182908456</v>
      </c>
      <c r="T65" s="83" t="s">
        <v>30</v>
      </c>
      <c r="U65" s="84"/>
      <c r="W65" s="40"/>
      <c r="X65" s="85"/>
      <c r="Z65" s="45">
        <f>W50</f>
        <v>0.03207739401516563</v>
      </c>
      <c r="AA65" s="45">
        <f>W58</f>
        <v>0.0029676402533242996</v>
      </c>
      <c r="AB65" s="45">
        <f>-R64</f>
        <v>0.03381441039217838</v>
      </c>
    </row>
    <row r="66" spans="4:28" ht="12.75">
      <c r="D66" s="86"/>
      <c r="K66" s="87"/>
      <c r="L66" s="88" t="s">
        <v>50</v>
      </c>
      <c r="M66" s="89">
        <f>SQRT(M62^2+M54^2)</f>
        <v>0.043232514445466656</v>
      </c>
      <c r="N66" s="90" t="b">
        <f>ABS(M65)&gt;M66</f>
        <v>0</v>
      </c>
      <c r="P66" s="49"/>
      <c r="Q66" s="91"/>
      <c r="R66" s="88" t="str">
        <f>IF(M65&gt;R65,"s (d2&lt;d1)",IF(M65&lt;R64,"s (d2&gt;d1)","ns"))</f>
        <v>ns</v>
      </c>
      <c r="S66" s="92"/>
      <c r="T66" s="93"/>
      <c r="U66" s="84"/>
      <c r="W66" s="40"/>
      <c r="X66" s="40"/>
      <c r="Z66" s="45">
        <f>X50</f>
        <v>0.03484758925114406</v>
      </c>
      <c r="AA66" s="45">
        <f>X58</f>
        <v>0.010698371061356848</v>
      </c>
      <c r="AB66" s="45">
        <f>R65</f>
        <v>0.034973723926536644</v>
      </c>
    </row>
    <row r="67" spans="1:24" ht="12.75">
      <c r="A67" s="111"/>
      <c r="B67" s="112"/>
      <c r="C67" s="112"/>
      <c r="D67" s="112"/>
      <c r="E67" s="112"/>
      <c r="F67" s="112"/>
      <c r="G67" s="112"/>
      <c r="H67" s="112"/>
      <c r="I67" s="112"/>
      <c r="J67" s="94"/>
      <c r="W67" s="40"/>
      <c r="X67" s="95"/>
    </row>
    <row r="68" spans="1:24" ht="12.75">
      <c r="A68" s="113"/>
      <c r="B68" s="112"/>
      <c r="C68" s="112"/>
      <c r="D68" s="112"/>
      <c r="E68" s="112"/>
      <c r="F68" s="112"/>
      <c r="G68" s="112"/>
      <c r="H68" s="96"/>
      <c r="I68" s="112"/>
      <c r="J68" s="94"/>
      <c r="L68" s="55" t="s">
        <v>25</v>
      </c>
      <c r="M68" s="81">
        <f>(M65/(M66/B18))^2</f>
        <v>0.8613825879694244</v>
      </c>
      <c r="N68" s="97"/>
      <c r="P68" s="98"/>
      <c r="Q68" s="43"/>
      <c r="R68" s="97"/>
      <c r="S68" s="98"/>
      <c r="U68" s="97"/>
      <c r="W68" s="40"/>
      <c r="X68" s="40"/>
    </row>
    <row r="69" spans="1:23" ht="12.75">
      <c r="A69" s="112"/>
      <c r="B69" s="114"/>
      <c r="C69" s="114"/>
      <c r="D69" s="114"/>
      <c r="E69" s="112"/>
      <c r="F69" s="115"/>
      <c r="G69" s="112"/>
      <c r="H69" s="115"/>
      <c r="I69" s="115"/>
      <c r="J69" s="94"/>
      <c r="L69" s="58" t="s">
        <v>37</v>
      </c>
      <c r="M69" s="59">
        <f>CHIDIST(M68,1)</f>
        <v>0.35335207770955035</v>
      </c>
      <c r="N69" s="61" t="b">
        <f>M69&lt;0.05</f>
        <v>0</v>
      </c>
      <c r="O69" s="43"/>
      <c r="P69" s="99"/>
      <c r="R69" s="100"/>
      <c r="S69" s="99"/>
      <c r="U69" s="97"/>
      <c r="V69" s="49"/>
      <c r="W69" s="40"/>
    </row>
    <row r="70" spans="1:23" ht="12.75">
      <c r="A70" s="112"/>
      <c r="B70" s="114"/>
      <c r="C70" s="114"/>
      <c r="D70" s="114"/>
      <c r="E70" s="112"/>
      <c r="F70" s="115"/>
      <c r="G70" s="112"/>
      <c r="H70" s="115"/>
      <c r="I70" s="115"/>
      <c r="J70" s="94"/>
      <c r="M70" s="100"/>
      <c r="N70" s="100"/>
      <c r="O70" s="97"/>
      <c r="P70" s="99"/>
      <c r="Q70" s="50"/>
      <c r="R70" s="100"/>
      <c r="S70" s="60"/>
      <c r="U70" s="97"/>
      <c r="V70" s="101"/>
      <c r="W70" s="40"/>
    </row>
    <row r="71" ht="18">
      <c r="A71" s="36" t="s">
        <v>74</v>
      </c>
    </row>
    <row r="72" spans="1:24" ht="12.75">
      <c r="A72" t="s">
        <v>67</v>
      </c>
      <c r="L72" s="37"/>
      <c r="M72" s="38" t="s">
        <v>17</v>
      </c>
      <c r="N72" s="37"/>
      <c r="P72" s="37"/>
      <c r="Q72" s="39" t="s">
        <v>18</v>
      </c>
      <c r="R72" s="37"/>
      <c r="S72" s="37"/>
      <c r="T72" s="37"/>
      <c r="W72" s="40"/>
      <c r="X72" s="40"/>
    </row>
    <row r="73" spans="4:24" ht="12.75">
      <c r="D73" t="s">
        <v>76</v>
      </c>
      <c r="H73" s="41" t="s">
        <v>19</v>
      </c>
      <c r="L73" s="37"/>
      <c r="M73" s="37"/>
      <c r="N73" s="37"/>
      <c r="P73" s="37"/>
      <c r="Q73" s="37" t="s">
        <v>20</v>
      </c>
      <c r="R73" s="37"/>
      <c r="S73" s="37"/>
      <c r="T73" s="37"/>
      <c r="U73" t="s">
        <v>21</v>
      </c>
      <c r="W73" s="40"/>
      <c r="X73" s="40"/>
    </row>
    <row r="74" spans="1:24" ht="12.75">
      <c r="A74" s="41" t="s">
        <v>22</v>
      </c>
      <c r="B74" s="126" t="str">
        <f>C4</f>
        <v>a</v>
      </c>
      <c r="C74" s="42" t="str">
        <f>D4</f>
        <v>¬a</v>
      </c>
      <c r="D74" s="43" t="str">
        <f>D49</f>
        <v>total</v>
      </c>
      <c r="F74" t="s">
        <v>24</v>
      </c>
      <c r="H74" s="44" t="s">
        <v>25</v>
      </c>
      <c r="L74" s="37"/>
      <c r="M74" s="39" t="str">
        <f>B74</f>
        <v>a</v>
      </c>
      <c r="N74" s="37" t="s">
        <v>26</v>
      </c>
      <c r="P74" s="39" t="str">
        <f>B74</f>
        <v>a</v>
      </c>
      <c r="Q74" s="37"/>
      <c r="R74" s="37" t="s">
        <v>27</v>
      </c>
      <c r="S74" s="37" t="s">
        <v>28</v>
      </c>
      <c r="T74" s="37" t="s">
        <v>29</v>
      </c>
      <c r="U74" t="s">
        <v>30</v>
      </c>
      <c r="V74" t="s">
        <v>31</v>
      </c>
      <c r="W74" s="40" t="s">
        <v>32</v>
      </c>
      <c r="X74" s="40" t="s">
        <v>33</v>
      </c>
    </row>
    <row r="75" spans="1:24" ht="12.75">
      <c r="A75" s="41" t="str">
        <f>A26</f>
        <v>¬b</v>
      </c>
      <c r="B75" s="143">
        <f>C6</f>
        <v>58</v>
      </c>
      <c r="C75" s="148">
        <f>D6</f>
        <v>172</v>
      </c>
      <c r="D75" s="102">
        <f>SUM(B75:C75)</f>
        <v>230</v>
      </c>
      <c r="E75" s="45"/>
      <c r="F75" s="46">
        <f>$D75*B$52/$D$52</f>
        <v>210.8066759388039</v>
      </c>
      <c r="G75" s="46"/>
      <c r="H75" s="46"/>
      <c r="I75" s="46">
        <f>(B75-F75)^2/F75</f>
        <v>110.76442483370394</v>
      </c>
      <c r="J75" s="46"/>
      <c r="L75" s="47" t="s">
        <v>34</v>
      </c>
      <c r="M75" s="48">
        <f>B75/$B77</f>
        <v>0.9666666666666667</v>
      </c>
      <c r="N75" s="48">
        <f>D75/D77</f>
        <v>0.3198887343532684</v>
      </c>
      <c r="P75" s="47" t="s">
        <v>34</v>
      </c>
      <c r="Q75" s="48">
        <f>M75</f>
        <v>0.9666666666666667</v>
      </c>
      <c r="R75" s="37">
        <f>$B$18^2/B77</f>
        <v>0.06402412407019291</v>
      </c>
      <c r="S75" s="48">
        <f>(Q75+R75/2)/(1+R75)</f>
        <v>0.9385865471560314</v>
      </c>
      <c r="T75" s="48">
        <f>$B$18*SQRT((Q75*(1-Q75)+R75/4)/B77)/(1+R75)</f>
        <v>0.052224118053955854</v>
      </c>
      <c r="U75" s="48">
        <f>S75+T75</f>
        <v>0.9908106652099873</v>
      </c>
      <c r="V75" s="48">
        <f>S75-T75</f>
        <v>0.8863624291020755</v>
      </c>
      <c r="W75" s="49">
        <f>U75-Q75</f>
        <v>0.02414399854332061</v>
      </c>
      <c r="X75" s="50">
        <f>Q75-V75</f>
        <v>0.08030423756459115</v>
      </c>
    </row>
    <row r="76" spans="1:14" ht="12.75">
      <c r="A76" s="41" t="str">
        <f>B5</f>
        <v>b</v>
      </c>
      <c r="B76" s="147">
        <f>C5</f>
        <v>2</v>
      </c>
      <c r="C76" s="149">
        <f>D5</f>
        <v>487</v>
      </c>
      <c r="D76" s="103">
        <f>SUM(B76:C76)</f>
        <v>489</v>
      </c>
      <c r="E76" s="45"/>
      <c r="F76" s="46">
        <f>$D76*B$52/$D$52</f>
        <v>448.1933240611961</v>
      </c>
      <c r="G76" s="46"/>
      <c r="H76" s="46"/>
      <c r="I76" s="46">
        <f>(B76-F76)^2/F76</f>
        <v>444.20224878136764</v>
      </c>
      <c r="J76" s="46"/>
      <c r="L76" s="47" t="s">
        <v>35</v>
      </c>
      <c r="M76" s="51"/>
      <c r="N76" s="52"/>
    </row>
    <row r="77" spans="2:24" ht="12.75">
      <c r="B77" s="105">
        <f>SUM(B75:B76)</f>
        <v>60</v>
      </c>
      <c r="C77" s="104">
        <f>SUM(C75:C76)</f>
        <v>659</v>
      </c>
      <c r="D77" s="54">
        <f>SUM(D75:D76)</f>
        <v>719</v>
      </c>
      <c r="E77" s="45"/>
      <c r="F77" s="46"/>
      <c r="G77" s="46"/>
      <c r="H77" s="55" t="s">
        <v>25</v>
      </c>
      <c r="I77" s="52">
        <f>SUM(I75:I76)</f>
        <v>554.9666736150716</v>
      </c>
      <c r="J77" s="46"/>
      <c r="L77" s="47"/>
      <c r="M77" s="48"/>
      <c r="N77" s="37"/>
      <c r="P77" s="56" t="s">
        <v>36</v>
      </c>
      <c r="Q77" s="48">
        <f>N75</f>
        <v>0.3198887343532684</v>
      </c>
      <c r="R77" s="48">
        <f>$B$18^2/D77</f>
        <v>0.005342764178319297</v>
      </c>
      <c r="S77" s="48">
        <f>(Q77+R77/2)/(1+R77)</f>
        <v>0.32084591239492427</v>
      </c>
      <c r="T77" s="48">
        <f>$B$18*SQRT((Q77*(1-Q77)+R77/4)/D77)/(1+R77)</f>
        <v>0.03401632444040361</v>
      </c>
      <c r="U77" s="48">
        <f>S77+T77</f>
        <v>0.35486223683532786</v>
      </c>
      <c r="V77" s="48">
        <f>S77-T77</f>
        <v>0.2868295879545207</v>
      </c>
      <c r="W77" s="49">
        <f>U77-Q77</f>
        <v>0.03497350248205944</v>
      </c>
      <c r="X77" s="50">
        <f>Q77-V77</f>
        <v>0.03305914639874774</v>
      </c>
    </row>
    <row r="78" spans="2:24" ht="12.75">
      <c r="B78" s="57"/>
      <c r="C78" s="57"/>
      <c r="D78" s="57"/>
      <c r="F78" s="46"/>
      <c r="G78" s="46"/>
      <c r="H78" s="58" t="s">
        <v>37</v>
      </c>
      <c r="I78" s="52">
        <f>CHIDIST(I77,1)</f>
        <v>1.0460333921385186E-122</v>
      </c>
      <c r="J78" s="46"/>
      <c r="K78" t="s">
        <v>38</v>
      </c>
      <c r="L78" s="39" t="s">
        <v>39</v>
      </c>
      <c r="M78" s="59">
        <f>M75-N75</f>
        <v>0.6467779323133982</v>
      </c>
      <c r="N78" s="52"/>
      <c r="P78" s="40"/>
      <c r="Q78" s="60"/>
      <c r="R78" s="61"/>
      <c r="S78" s="62"/>
      <c r="T78" s="40"/>
      <c r="U78" s="49"/>
      <c r="V78" s="40"/>
      <c r="W78" s="40"/>
      <c r="X78" s="40"/>
    </row>
    <row r="79" spans="2:24" ht="12.75">
      <c r="B79" s="57"/>
      <c r="C79" s="63"/>
      <c r="D79" s="57"/>
      <c r="H79" s="64"/>
      <c r="I79" s="59"/>
      <c r="L79" s="39" t="s">
        <v>40</v>
      </c>
      <c r="M79" s="48">
        <f>$B$18*SQRT(N75*(1-N75)/B77)</f>
        <v>0.11802154073831989</v>
      </c>
      <c r="N79" s="51"/>
      <c r="P79" s="49"/>
      <c r="Q79" s="40"/>
      <c r="R79" s="61"/>
      <c r="S79" s="62"/>
      <c r="T79" s="49"/>
      <c r="U79" s="49"/>
      <c r="V79" s="40"/>
      <c r="W79" s="40"/>
      <c r="X79" s="40"/>
    </row>
    <row r="80" spans="2:24" ht="12.75">
      <c r="B80" s="57"/>
      <c r="C80" s="57"/>
      <c r="D80" s="57"/>
      <c r="H80" s="41"/>
      <c r="L80" s="37" t="s">
        <v>41</v>
      </c>
      <c r="M80" s="48"/>
      <c r="N80" s="59" t="b">
        <f>ABS(M78)&gt;M79</f>
        <v>1</v>
      </c>
      <c r="P80" s="40"/>
      <c r="Q80" s="40"/>
      <c r="R80" s="60"/>
      <c r="S80" s="40"/>
      <c r="T80" s="49"/>
      <c r="U80" s="40"/>
      <c r="V80" s="40"/>
      <c r="W80" s="40"/>
      <c r="X80" s="40"/>
    </row>
    <row r="81" spans="2:24" ht="12.75">
      <c r="B81" s="57"/>
      <c r="C81" s="57"/>
      <c r="D81" s="57" t="s">
        <v>77</v>
      </c>
      <c r="H81" s="41"/>
      <c r="I81" s="41"/>
      <c r="K81" s="65"/>
      <c r="L81" s="65"/>
      <c r="M81" s="66"/>
      <c r="N81" s="67"/>
      <c r="P81" s="65"/>
      <c r="Q81" s="65"/>
      <c r="R81" s="65"/>
      <c r="S81" s="65"/>
      <c r="T81" s="66"/>
      <c r="U81" s="65"/>
      <c r="V81" s="65"/>
      <c r="W81" s="65"/>
      <c r="X81" s="65"/>
    </row>
    <row r="82" spans="1:24" ht="12.75">
      <c r="A82" s="41" t="s">
        <v>42</v>
      </c>
      <c r="B82" s="41" t="str">
        <f>A75</f>
        <v>¬b</v>
      </c>
      <c r="C82" s="41" t="str">
        <f>A76</f>
        <v>b</v>
      </c>
      <c r="D82" s="41" t="str">
        <f>D74</f>
        <v>total</v>
      </c>
      <c r="F82" t="s">
        <v>24</v>
      </c>
      <c r="H82" s="44" t="s">
        <v>25</v>
      </c>
      <c r="J82" s="68">
        <f>SUM(C75:C76)</f>
        <v>659</v>
      </c>
      <c r="L82" s="37"/>
      <c r="M82" s="39" t="str">
        <f>B82</f>
        <v>¬b</v>
      </c>
      <c r="N82" s="37"/>
      <c r="P82" s="39" t="str">
        <f>B82</f>
        <v>¬b</v>
      </c>
      <c r="Q82" s="37"/>
      <c r="R82" s="37" t="s">
        <v>27</v>
      </c>
      <c r="S82" s="37" t="s">
        <v>28</v>
      </c>
      <c r="T82" s="37" t="s">
        <v>29</v>
      </c>
      <c r="U82" t="s">
        <v>30</v>
      </c>
      <c r="V82" t="s">
        <v>31</v>
      </c>
      <c r="W82" s="40" t="s">
        <v>32</v>
      </c>
      <c r="X82" s="40" t="s">
        <v>33</v>
      </c>
    </row>
    <row r="83" spans="1:26" ht="12.75">
      <c r="A83" s="41" t="str">
        <f>B74</f>
        <v>a</v>
      </c>
      <c r="B83" s="143">
        <f>B75</f>
        <v>58</v>
      </c>
      <c r="C83" s="148">
        <f>B76</f>
        <v>2</v>
      </c>
      <c r="D83" s="102">
        <f>SUM(B83:C83)</f>
        <v>60</v>
      </c>
      <c r="E83" s="45"/>
      <c r="F83" s="46">
        <f>$D83*B$60/$D$60</f>
        <v>40.80667593880389</v>
      </c>
      <c r="G83" s="46"/>
      <c r="H83" s="46"/>
      <c r="I83" s="46">
        <f>(B83-F83)^2/F83</f>
        <v>7.244167418013167</v>
      </c>
      <c r="J83" s="46"/>
      <c r="L83" s="47" t="s">
        <v>34</v>
      </c>
      <c r="M83" s="48">
        <f>B83/$B85</f>
        <v>0.25217391304347825</v>
      </c>
      <c r="N83" s="48">
        <f>D83/D85</f>
        <v>0.08344923504867872</v>
      </c>
      <c r="P83" s="47" t="s">
        <v>34</v>
      </c>
      <c r="Q83" s="48">
        <f>M83</f>
        <v>0.25217391304347825</v>
      </c>
      <c r="R83" s="37">
        <f>$B$18^2/B85</f>
        <v>0.01670194540961554</v>
      </c>
      <c r="S83" s="48">
        <f>(Q83+R83/2)/(1+R83)</f>
        <v>0.25624509417391156</v>
      </c>
      <c r="T83" s="48">
        <f>$B$18*SQRT((Q83*(1-Q83)+R83/4)/B85)/(1+R83)</f>
        <v>0.05580791048375514</v>
      </c>
      <c r="U83" s="48">
        <f>S83+T83</f>
        <v>0.3120530046576667</v>
      </c>
      <c r="V83" s="48">
        <f>S83-T83</f>
        <v>0.20043718369015642</v>
      </c>
      <c r="W83" s="49">
        <f>U83-Q83</f>
        <v>0.05987909161418847</v>
      </c>
      <c r="X83" s="50">
        <f>Q83-V83</f>
        <v>0.051736729353321825</v>
      </c>
      <c r="Z83" t="s">
        <v>54</v>
      </c>
    </row>
    <row r="84" spans="1:14" ht="12.75">
      <c r="A84" s="41" t="str">
        <f>C74</f>
        <v>¬a</v>
      </c>
      <c r="B84" s="147">
        <f>C75</f>
        <v>172</v>
      </c>
      <c r="C84" s="149">
        <f>C76</f>
        <v>487</v>
      </c>
      <c r="D84" s="103">
        <f>SUM(B84:C84)</f>
        <v>659</v>
      </c>
      <c r="E84" s="45"/>
      <c r="F84" s="46">
        <f>$D84*B$60/$D$60</f>
        <v>448.1933240611961</v>
      </c>
      <c r="G84" s="46"/>
      <c r="H84" s="46"/>
      <c r="I84" s="46">
        <f>(B84-F84)^2/F84</f>
        <v>170.20055444993034</v>
      </c>
      <c r="J84" s="46"/>
      <c r="L84" s="47" t="s">
        <v>35</v>
      </c>
      <c r="M84" s="51"/>
      <c r="N84" s="52"/>
    </row>
    <row r="85" spans="2:28" ht="12.75">
      <c r="B85" s="69">
        <f>SUM(B83:B84)</f>
        <v>230</v>
      </c>
      <c r="C85" s="70">
        <f>SUM(C83:C84)</f>
        <v>489</v>
      </c>
      <c r="D85" s="71">
        <f>SUM(D83:D84)</f>
        <v>719</v>
      </c>
      <c r="E85" s="45"/>
      <c r="F85" s="46"/>
      <c r="G85" s="46"/>
      <c r="H85" s="55" t="s">
        <v>25</v>
      </c>
      <c r="I85" s="52">
        <f>SUM(I83:I84)</f>
        <v>177.4447218679435</v>
      </c>
      <c r="J85" s="46"/>
      <c r="L85" s="47"/>
      <c r="M85" s="48"/>
      <c r="N85" s="37"/>
      <c r="P85" s="56" t="s">
        <v>43</v>
      </c>
      <c r="Q85" s="48">
        <f>N83</f>
        <v>0.08344923504867872</v>
      </c>
      <c r="R85" s="48">
        <f>$B$18^2/D85</f>
        <v>0.005342764178319297</v>
      </c>
      <c r="S85" s="48">
        <f>(Q85+R85/2)/(1+R85)</f>
        <v>0.0856629402492651</v>
      </c>
      <c r="T85" s="48">
        <f>$B$18*SQRT((Q85*(1-Q85)+R85/4)/D85)/(1+R85)</f>
        <v>0.020282321938017957</v>
      </c>
      <c r="U85" s="48">
        <f>S85+T85</f>
        <v>0.10594526218728306</v>
      </c>
      <c r="V85" s="48">
        <f>S85-T85</f>
        <v>0.06538061831124714</v>
      </c>
      <c r="W85" s="49">
        <f>U85-Q85</f>
        <v>0.022496027138604338</v>
      </c>
      <c r="X85" s="50">
        <f>Q85-V85</f>
        <v>0.018068616737431584</v>
      </c>
      <c r="Z85" t="s">
        <v>55</v>
      </c>
      <c r="AA85" t="s">
        <v>56</v>
      </c>
      <c r="AB85" t="s">
        <v>57</v>
      </c>
    </row>
    <row r="86" spans="6:28" ht="12.75">
      <c r="F86" s="46"/>
      <c r="G86" s="46"/>
      <c r="H86" s="58" t="s">
        <v>37</v>
      </c>
      <c r="I86" s="52">
        <f>CHIDIST(I85,1)</f>
        <v>1.7513091325791872E-40</v>
      </c>
      <c r="J86" s="46"/>
      <c r="K86" t="s">
        <v>38</v>
      </c>
      <c r="L86" s="39" t="s">
        <v>44</v>
      </c>
      <c r="M86" s="59">
        <f>M83-N83</f>
        <v>0.1687246779947995</v>
      </c>
      <c r="N86" s="51"/>
      <c r="P86" s="40"/>
      <c r="Q86" s="40"/>
      <c r="R86" s="40"/>
      <c r="S86" s="40"/>
      <c r="T86" s="40"/>
      <c r="U86" s="49"/>
      <c r="V86" s="40"/>
      <c r="W86" s="40"/>
      <c r="X86" s="40"/>
      <c r="Z86" s="45">
        <f>M78</f>
        <v>0.6467779323133982</v>
      </c>
      <c r="AA86" s="45">
        <f>M86</f>
        <v>0.1687246779947995</v>
      </c>
      <c r="AB86" s="45">
        <f>M90</f>
        <v>0.4780532543185987</v>
      </c>
    </row>
    <row r="87" spans="1:28" ht="12.75">
      <c r="A87" s="41"/>
      <c r="B87" s="41" t="s">
        <v>78</v>
      </c>
      <c r="C87" s="63"/>
      <c r="D87" s="41"/>
      <c r="H87" s="64"/>
      <c r="I87" s="59"/>
      <c r="L87" s="39" t="s">
        <v>40</v>
      </c>
      <c r="M87" s="48">
        <f>$B$18*SQRT(N83*(1-N83)/B85)</f>
        <v>0.03574151621291677</v>
      </c>
      <c r="N87" s="51"/>
      <c r="P87" s="49"/>
      <c r="Q87" s="40"/>
      <c r="R87" s="40"/>
      <c r="S87" s="40"/>
      <c r="T87" s="40"/>
      <c r="U87" s="49"/>
      <c r="V87" s="40"/>
      <c r="W87" s="40"/>
      <c r="X87" s="40"/>
      <c r="Z87" s="45">
        <f>M79</f>
        <v>0.11802154073831989</v>
      </c>
      <c r="AA87" s="45">
        <f>M87</f>
        <v>0.03574151621291677</v>
      </c>
      <c r="AB87" s="45">
        <f>M91</f>
        <v>0.12331480065038865</v>
      </c>
    </row>
    <row r="88" spans="1:24" ht="12.75">
      <c r="A88" s="41"/>
      <c r="B88" s="72"/>
      <c r="L88" s="37" t="s">
        <v>41</v>
      </c>
      <c r="M88" s="48"/>
      <c r="N88" s="59" t="b">
        <f>ABS(M86)&gt;M87</f>
        <v>1</v>
      </c>
      <c r="P88" s="40"/>
      <c r="Q88" s="40"/>
      <c r="R88" s="40"/>
      <c r="S88" s="40"/>
      <c r="T88" s="49"/>
      <c r="U88" s="40"/>
      <c r="V88" s="40"/>
      <c r="W88" s="40"/>
      <c r="X88" s="40"/>
    </row>
    <row r="89" spans="12:28" ht="12.75">
      <c r="L89" s="40"/>
      <c r="M89" s="40"/>
      <c r="N89" s="40"/>
      <c r="P89" s="40"/>
      <c r="Q89" s="73" t="s">
        <v>40</v>
      </c>
      <c r="R89" s="74">
        <f>-SQRT(W75^2+X83^2)</f>
        <v>-0.05709309791768827</v>
      </c>
      <c r="S89" s="75">
        <f>R89/Q83</f>
        <v>-0.22640366415635005</v>
      </c>
      <c r="T89" s="76" t="s">
        <v>31</v>
      </c>
      <c r="U89" s="40"/>
      <c r="V89" s="40"/>
      <c r="W89" s="40"/>
      <c r="X89" s="40"/>
      <c r="Z89" s="45">
        <f>Z86</f>
        <v>0.6467779323133982</v>
      </c>
      <c r="AA89" s="45">
        <f>AA86</f>
        <v>0.1687246779947995</v>
      </c>
      <c r="AB89" s="45">
        <f>AB86</f>
        <v>0.4780532543185987</v>
      </c>
    </row>
    <row r="90" spans="10:28" ht="12.75">
      <c r="J90" s="41" t="s">
        <v>47</v>
      </c>
      <c r="K90" s="77"/>
      <c r="L90" s="78" t="s">
        <v>48</v>
      </c>
      <c r="M90" s="74">
        <f>M78-M86</f>
        <v>0.4780532543185987</v>
      </c>
      <c r="N90" s="79" t="s">
        <v>49</v>
      </c>
      <c r="P90" s="40"/>
      <c r="Q90" s="80"/>
      <c r="R90" s="81">
        <f>SQRT(X75^2+W83^2)</f>
        <v>0.10017123431090719</v>
      </c>
      <c r="S90" s="82">
        <f>R90/Q83</f>
        <v>0.3972307567501492</v>
      </c>
      <c r="T90" s="83" t="s">
        <v>30</v>
      </c>
      <c r="U90" s="84"/>
      <c r="W90" s="40"/>
      <c r="X90" s="85"/>
      <c r="Z90" s="45">
        <f>W75</f>
        <v>0.02414399854332061</v>
      </c>
      <c r="AA90" s="45">
        <f>W83</f>
        <v>0.05987909161418847</v>
      </c>
      <c r="AB90" s="45">
        <f>-R89</f>
        <v>0.05709309791768827</v>
      </c>
    </row>
    <row r="91" spans="4:28" ht="12.75">
      <c r="D91" s="86"/>
      <c r="K91" s="87"/>
      <c r="L91" s="88" t="s">
        <v>50</v>
      </c>
      <c r="M91" s="89">
        <f>SQRT(M87^2+M79^2)</f>
        <v>0.12331480065038865</v>
      </c>
      <c r="N91" s="90" t="b">
        <f>ABS(M90)&gt;M91</f>
        <v>1</v>
      </c>
      <c r="P91" s="49"/>
      <c r="Q91" s="91"/>
      <c r="R91" s="88" t="str">
        <f>IF(M90&gt;R90,"s (d2&lt;d1)",IF(M90&lt;R89,"s (d2&gt;d1)","ns"))</f>
        <v>s (d2&lt;d1)</v>
      </c>
      <c r="S91" s="92"/>
      <c r="T91" s="93"/>
      <c r="U91" s="84"/>
      <c r="W91" s="40"/>
      <c r="X91" s="40"/>
      <c r="Z91" s="45">
        <f>X75</f>
        <v>0.08030423756459115</v>
      </c>
      <c r="AA91" s="45">
        <f>X83</f>
        <v>0.051736729353321825</v>
      </c>
      <c r="AB91" s="45">
        <f>R90</f>
        <v>0.10017123431090719</v>
      </c>
    </row>
    <row r="92" spans="1:24" ht="12.75">
      <c r="A92" s="111"/>
      <c r="B92" s="112"/>
      <c r="C92" s="112"/>
      <c r="D92" s="112"/>
      <c r="E92" s="112"/>
      <c r="F92" s="112"/>
      <c r="G92" s="112"/>
      <c r="H92" s="112"/>
      <c r="I92" s="112"/>
      <c r="J92" s="94"/>
      <c r="W92" s="40"/>
      <c r="X92" s="95"/>
    </row>
    <row r="93" spans="1:24" ht="12.75">
      <c r="A93" s="113"/>
      <c r="B93" s="112"/>
      <c r="C93" s="112"/>
      <c r="D93" s="112"/>
      <c r="E93" s="112"/>
      <c r="F93" s="112"/>
      <c r="G93" s="112"/>
      <c r="H93" s="96"/>
      <c r="I93" s="112"/>
      <c r="J93" s="94"/>
      <c r="L93" s="55" t="s">
        <v>25</v>
      </c>
      <c r="M93" s="81">
        <f>(M90/(M91/B18))^2</f>
        <v>57.732058557077934</v>
      </c>
      <c r="N93" s="97"/>
      <c r="P93" s="98"/>
      <c r="Q93" s="43"/>
      <c r="R93" s="97"/>
      <c r="S93" s="98"/>
      <c r="U93" s="97"/>
      <c r="W93" s="40"/>
      <c r="X93" s="40"/>
    </row>
    <row r="94" spans="1:23" ht="12.75">
      <c r="A94" s="112"/>
      <c r="B94" s="114"/>
      <c r="C94" s="114"/>
      <c r="D94" s="114"/>
      <c r="E94" s="112"/>
      <c r="F94" s="115"/>
      <c r="G94" s="112"/>
      <c r="H94" s="115"/>
      <c r="I94" s="115"/>
      <c r="J94" s="94"/>
      <c r="L94" s="58" t="s">
        <v>37</v>
      </c>
      <c r="M94" s="59">
        <f>CHIDIST(M93,1)</f>
        <v>3.0036728271274226E-14</v>
      </c>
      <c r="N94" s="61" t="b">
        <f>M94&lt;0.05</f>
        <v>1</v>
      </c>
      <c r="O94" s="43"/>
      <c r="P94" s="99"/>
      <c r="R94" s="100"/>
      <c r="S94" s="99"/>
      <c r="U94" s="97"/>
      <c r="V94" s="49"/>
      <c r="W94" s="40"/>
    </row>
    <row r="96" ht="18">
      <c r="A96" s="36" t="s">
        <v>79</v>
      </c>
    </row>
    <row r="97" spans="1:24" ht="12.75">
      <c r="A97" t="s">
        <v>67</v>
      </c>
      <c r="L97" s="37"/>
      <c r="M97" s="38" t="s">
        <v>17</v>
      </c>
      <c r="N97" s="37"/>
      <c r="P97" s="37"/>
      <c r="Q97" s="39" t="s">
        <v>18</v>
      </c>
      <c r="R97" s="37"/>
      <c r="S97" s="37"/>
      <c r="T97" s="37"/>
      <c r="W97" s="40"/>
      <c r="X97" s="40"/>
    </row>
    <row r="98" spans="4:24" ht="12.75">
      <c r="D98" t="s">
        <v>76</v>
      </c>
      <c r="H98" s="41" t="s">
        <v>19</v>
      </c>
      <c r="L98" s="37"/>
      <c r="M98" s="37"/>
      <c r="N98" s="37"/>
      <c r="P98" s="37"/>
      <c r="Q98" s="37" t="s">
        <v>20</v>
      </c>
      <c r="R98" s="37"/>
      <c r="S98" s="37"/>
      <c r="T98" s="37"/>
      <c r="U98" t="s">
        <v>21</v>
      </c>
      <c r="W98" s="40"/>
      <c r="X98" s="40"/>
    </row>
    <row r="99" spans="1:24" ht="12.75">
      <c r="A99" s="41" t="s">
        <v>22</v>
      </c>
      <c r="B99" s="126" t="str">
        <f>C74</f>
        <v>¬a</v>
      </c>
      <c r="C99" s="127" t="str">
        <f>B74</f>
        <v>a</v>
      </c>
      <c r="D99" s="43" t="str">
        <f>D74</f>
        <v>total</v>
      </c>
      <c r="F99" t="s">
        <v>24</v>
      </c>
      <c r="H99" s="44" t="s">
        <v>25</v>
      </c>
      <c r="L99" s="37"/>
      <c r="M99" s="39" t="str">
        <f>B99</f>
        <v>¬a</v>
      </c>
      <c r="N99" s="37" t="s">
        <v>26</v>
      </c>
      <c r="P99" s="39" t="str">
        <f>B99</f>
        <v>¬a</v>
      </c>
      <c r="Q99" s="37"/>
      <c r="R99" s="37" t="s">
        <v>27</v>
      </c>
      <c r="S99" s="37" t="s">
        <v>28</v>
      </c>
      <c r="T99" s="37" t="s">
        <v>29</v>
      </c>
      <c r="U99" t="s">
        <v>30</v>
      </c>
      <c r="V99" t="s">
        <v>31</v>
      </c>
      <c r="W99" s="40" t="s">
        <v>32</v>
      </c>
      <c r="X99" s="40" t="s">
        <v>33</v>
      </c>
    </row>
    <row r="100" spans="1:24" ht="12.75">
      <c r="A100" s="41" t="str">
        <f>A75</f>
        <v>¬b</v>
      </c>
      <c r="B100" s="143">
        <f>D6</f>
        <v>172</v>
      </c>
      <c r="C100" s="148">
        <f>C6</f>
        <v>58</v>
      </c>
      <c r="D100" s="102">
        <f>SUM(B100:C100)</f>
        <v>230</v>
      </c>
      <c r="E100" s="45"/>
      <c r="F100" s="46">
        <f>$D100*B$52/$D$52</f>
        <v>210.8066759388039</v>
      </c>
      <c r="G100" s="46"/>
      <c r="H100" s="46"/>
      <c r="I100" s="46">
        <f>(B100-F100)^2/F100</f>
        <v>7.1437875044171415</v>
      </c>
      <c r="J100" s="46"/>
      <c r="L100" s="47" t="s">
        <v>34</v>
      </c>
      <c r="M100" s="48">
        <f>B100/$B102</f>
        <v>0.26100151745068284</v>
      </c>
      <c r="N100" s="48">
        <f>D100/D102</f>
        <v>0.3198887343532684</v>
      </c>
      <c r="P100" s="47" t="s">
        <v>34</v>
      </c>
      <c r="Q100" s="48">
        <f>M100</f>
        <v>0.26100151745068284</v>
      </c>
      <c r="R100" s="37">
        <f>$B$18^2/B102</f>
        <v>0.005829207047362024</v>
      </c>
      <c r="S100" s="48">
        <f>(Q100+R100/2)/(1+R100)</f>
        <v>0.26238661506867206</v>
      </c>
      <c r="T100" s="48">
        <f>$B$18*SQRT((Q100*(1-Q100)+R100/4)/B102)/(1+R100)</f>
        <v>0.033462491633154824</v>
      </c>
      <c r="U100" s="48">
        <f>S100+T100</f>
        <v>0.2958491067018269</v>
      </c>
      <c r="V100" s="48">
        <f>S100-T100</f>
        <v>0.22892412343551724</v>
      </c>
      <c r="W100" s="49">
        <f>U100-Q100</f>
        <v>0.03484758925114406</v>
      </c>
      <c r="X100" s="50">
        <f>Q100-V100</f>
        <v>0.0320773940151656</v>
      </c>
    </row>
    <row r="101" spans="1:14" ht="12.75">
      <c r="A101" s="41" t="str">
        <f>A76</f>
        <v>b</v>
      </c>
      <c r="B101" s="147">
        <f>D5</f>
        <v>487</v>
      </c>
      <c r="C101" s="149">
        <f>C5</f>
        <v>2</v>
      </c>
      <c r="D101" s="103">
        <f>SUM(B101:C101)</f>
        <v>489</v>
      </c>
      <c r="E101" s="45"/>
      <c r="F101" s="46">
        <f>$D101*B$52/$D$52</f>
        <v>448.1933240611961</v>
      </c>
      <c r="G101" s="46"/>
      <c r="H101" s="46"/>
      <c r="I101" s="46">
        <f>(B101-F101)^2/F101</f>
        <v>3.3600636523843406</v>
      </c>
      <c r="J101" s="46"/>
      <c r="L101" s="47" t="s">
        <v>35</v>
      </c>
      <c r="M101" s="51"/>
      <c r="N101" s="52"/>
    </row>
    <row r="102" spans="2:24" ht="12.75">
      <c r="B102" s="105">
        <f>SUM(B100:B101)</f>
        <v>659</v>
      </c>
      <c r="C102" s="104">
        <f>SUM(C100:C101)</f>
        <v>60</v>
      </c>
      <c r="D102" s="54">
        <f>SUM(D100:D101)</f>
        <v>719</v>
      </c>
      <c r="E102" s="45"/>
      <c r="F102" s="46"/>
      <c r="G102" s="46"/>
      <c r="H102" s="55" t="s">
        <v>25</v>
      </c>
      <c r="I102" s="52">
        <f>SUM(I100:I101)</f>
        <v>10.503851156801481</v>
      </c>
      <c r="J102" s="46"/>
      <c r="L102" s="47"/>
      <c r="M102" s="48"/>
      <c r="N102" s="37"/>
      <c r="P102" s="56" t="s">
        <v>36</v>
      </c>
      <c r="Q102" s="48">
        <f>N100</f>
        <v>0.3198887343532684</v>
      </c>
      <c r="R102" s="48">
        <f>$B$18^2/D102</f>
        <v>0.005342764178319297</v>
      </c>
      <c r="S102" s="48">
        <f>(Q102+R102/2)/(1+R102)</f>
        <v>0.32084591239492427</v>
      </c>
      <c r="T102" s="48">
        <f>$B$18*SQRT((Q102*(1-Q102)+R102/4)/D102)/(1+R102)</f>
        <v>0.03401632444040361</v>
      </c>
      <c r="U102" s="48">
        <f>S102+T102</f>
        <v>0.35486223683532786</v>
      </c>
      <c r="V102" s="48">
        <f>S102-T102</f>
        <v>0.2868295879545207</v>
      </c>
      <c r="W102" s="49">
        <f>U102-Q102</f>
        <v>0.03497350248205944</v>
      </c>
      <c r="X102" s="50">
        <f>Q102-V102</f>
        <v>0.03305914639874774</v>
      </c>
    </row>
    <row r="103" spans="2:24" ht="12.75">
      <c r="B103" s="57"/>
      <c r="C103" s="57"/>
      <c r="D103" s="57"/>
      <c r="F103" s="46"/>
      <c r="G103" s="46"/>
      <c r="H103" s="58" t="s">
        <v>37</v>
      </c>
      <c r="I103" s="52">
        <f>CHIDIST(I102,1)</f>
        <v>0.001191260050583865</v>
      </c>
      <c r="J103" s="46"/>
      <c r="K103" t="s">
        <v>38</v>
      </c>
      <c r="L103" s="39" t="s">
        <v>39</v>
      </c>
      <c r="M103" s="59">
        <f>M100-N100</f>
        <v>-0.05888721690258558</v>
      </c>
      <c r="N103" s="52"/>
      <c r="P103" s="40"/>
      <c r="Q103" s="60"/>
      <c r="R103" s="61"/>
      <c r="S103" s="62"/>
      <c r="T103" s="40"/>
      <c r="U103" s="49"/>
      <c r="V103" s="40"/>
      <c r="W103" s="40"/>
      <c r="X103" s="40"/>
    </row>
    <row r="104" spans="2:24" ht="12.75">
      <c r="B104" s="57"/>
      <c r="C104" s="63"/>
      <c r="D104" s="57"/>
      <c r="H104" s="64"/>
      <c r="I104" s="59"/>
      <c r="L104" s="39" t="s">
        <v>40</v>
      </c>
      <c r="M104" s="48">
        <f>$B$18*SQRT(N100*(1-N100)/B102)</f>
        <v>0.03561182231735686</v>
      </c>
      <c r="N104" s="51"/>
      <c r="P104" s="49"/>
      <c r="Q104" s="40"/>
      <c r="R104" s="61"/>
      <c r="S104" s="62"/>
      <c r="T104" s="49"/>
      <c r="U104" s="49"/>
      <c r="V104" s="40"/>
      <c r="W104" s="40"/>
      <c r="X104" s="40"/>
    </row>
    <row r="105" spans="2:24" ht="12.75">
      <c r="B105" s="57"/>
      <c r="C105" s="57"/>
      <c r="D105" s="57"/>
      <c r="H105" s="41"/>
      <c r="L105" s="37" t="s">
        <v>41</v>
      </c>
      <c r="M105" s="48"/>
      <c r="N105" s="59" t="b">
        <f>ABS(M103)&gt;M104</f>
        <v>1</v>
      </c>
      <c r="P105" s="40"/>
      <c r="Q105" s="40"/>
      <c r="R105" s="60"/>
      <c r="S105" s="40"/>
      <c r="T105" s="49"/>
      <c r="U105" s="40"/>
      <c r="V105" s="40"/>
      <c r="W105" s="40"/>
      <c r="X105" s="40"/>
    </row>
    <row r="106" spans="2:24" ht="12.75">
      <c r="B106" s="57"/>
      <c r="C106" s="57"/>
      <c r="D106" s="57" t="s">
        <v>77</v>
      </c>
      <c r="H106" s="41"/>
      <c r="I106" s="41"/>
      <c r="K106" s="65"/>
      <c r="L106" s="65"/>
      <c r="M106" s="66"/>
      <c r="N106" s="67"/>
      <c r="P106" s="65"/>
      <c r="Q106" s="65"/>
      <c r="R106" s="65"/>
      <c r="S106" s="65"/>
      <c r="T106" s="66"/>
      <c r="U106" s="65"/>
      <c r="V106" s="65"/>
      <c r="W106" s="65"/>
      <c r="X106" s="65"/>
    </row>
    <row r="107" spans="1:24" ht="12.75">
      <c r="A107" s="41" t="s">
        <v>42</v>
      </c>
      <c r="B107" s="41" t="str">
        <f>A100</f>
        <v>¬b</v>
      </c>
      <c r="C107" s="41" t="str">
        <f>A101</f>
        <v>b</v>
      </c>
      <c r="D107" s="41" t="str">
        <f>D99</f>
        <v>total</v>
      </c>
      <c r="F107" t="s">
        <v>24</v>
      </c>
      <c r="H107" s="44" t="s">
        <v>25</v>
      </c>
      <c r="J107" s="68">
        <f>SUM(C100:C101)</f>
        <v>60</v>
      </c>
      <c r="L107" s="37"/>
      <c r="M107" s="39" t="str">
        <f>B107</f>
        <v>¬b</v>
      </c>
      <c r="N107" s="37"/>
      <c r="P107" s="39" t="str">
        <f>B107</f>
        <v>¬b</v>
      </c>
      <c r="Q107" s="37"/>
      <c r="R107" s="37" t="s">
        <v>27</v>
      </c>
      <c r="S107" s="37" t="s">
        <v>28</v>
      </c>
      <c r="T107" s="37" t="s">
        <v>29</v>
      </c>
      <c r="U107" t="s">
        <v>30</v>
      </c>
      <c r="V107" t="s">
        <v>31</v>
      </c>
      <c r="W107" s="40" t="s">
        <v>32</v>
      </c>
      <c r="X107" s="40" t="s">
        <v>33</v>
      </c>
    </row>
    <row r="108" spans="1:26" ht="12.75">
      <c r="A108" s="41" t="str">
        <f>B99</f>
        <v>¬a</v>
      </c>
      <c r="B108" s="143">
        <f>B100</f>
        <v>172</v>
      </c>
      <c r="C108" s="148">
        <f>B101</f>
        <v>487</v>
      </c>
      <c r="D108" s="102">
        <f>SUM(B108:C108)</f>
        <v>659</v>
      </c>
      <c r="E108" s="45"/>
      <c r="F108" s="46">
        <f>$D108*B$60/$D$60</f>
        <v>448.1933240611961</v>
      </c>
      <c r="G108" s="46"/>
      <c r="H108" s="46"/>
      <c r="I108" s="46">
        <f>(B108-F108)^2/F108</f>
        <v>170.20055444993034</v>
      </c>
      <c r="J108" s="46"/>
      <c r="L108" s="47" t="s">
        <v>34</v>
      </c>
      <c r="M108" s="48">
        <f>B108/$B110</f>
        <v>0.7478260869565218</v>
      </c>
      <c r="N108" s="48">
        <f>D108/D110</f>
        <v>0.9165507649513213</v>
      </c>
      <c r="P108" s="47" t="s">
        <v>34</v>
      </c>
      <c r="Q108" s="48">
        <f>M108</f>
        <v>0.7478260869565218</v>
      </c>
      <c r="R108" s="37">
        <f>$B$18^2/B110</f>
        <v>0.01670194540961554</v>
      </c>
      <c r="S108" s="48">
        <f>(Q108+R108/2)/(1+R108)</f>
        <v>0.7437549058260884</v>
      </c>
      <c r="T108" s="48">
        <f>$B$18*SQRT((Q108*(1-Q108)+R108/4)/B110)/(1+R108)</f>
        <v>0.05580791048375514</v>
      </c>
      <c r="U108" s="48">
        <f>S108+T108</f>
        <v>0.7995628163098435</v>
      </c>
      <c r="V108" s="48">
        <f>S108-T108</f>
        <v>0.6879469953423333</v>
      </c>
      <c r="W108" s="49">
        <f>U108-Q108</f>
        <v>0.05173672935332174</v>
      </c>
      <c r="X108" s="50">
        <f>Q108-V108</f>
        <v>0.05987909161418847</v>
      </c>
      <c r="Z108" t="s">
        <v>54</v>
      </c>
    </row>
    <row r="109" spans="1:14" ht="12.75">
      <c r="A109" s="41" t="str">
        <f>C99</f>
        <v>a</v>
      </c>
      <c r="B109" s="147">
        <f>C100</f>
        <v>58</v>
      </c>
      <c r="C109" s="149">
        <f>C101</f>
        <v>2</v>
      </c>
      <c r="D109" s="103">
        <f>SUM(B109:C109)</f>
        <v>60</v>
      </c>
      <c r="E109" s="45"/>
      <c r="F109" s="46">
        <f>$D109*B$60/$D$60</f>
        <v>40.80667593880389</v>
      </c>
      <c r="G109" s="46"/>
      <c r="H109" s="46"/>
      <c r="I109" s="46">
        <f>(B109-F109)^2/F109</f>
        <v>7.244167418013167</v>
      </c>
      <c r="J109" s="46"/>
      <c r="L109" s="47" t="s">
        <v>35</v>
      </c>
      <c r="M109" s="51"/>
      <c r="N109" s="52"/>
    </row>
    <row r="110" spans="2:28" ht="12.75">
      <c r="B110" s="69">
        <f>SUM(B108:B109)</f>
        <v>230</v>
      </c>
      <c r="C110" s="70">
        <f>SUM(C108:C109)</f>
        <v>489</v>
      </c>
      <c r="D110" s="71">
        <f>SUM(D108:D109)</f>
        <v>719</v>
      </c>
      <c r="E110" s="45"/>
      <c r="F110" s="46"/>
      <c r="G110" s="46"/>
      <c r="H110" s="55" t="s">
        <v>25</v>
      </c>
      <c r="I110" s="52">
        <f>SUM(I108:I109)</f>
        <v>177.4447218679435</v>
      </c>
      <c r="J110" s="46"/>
      <c r="L110" s="47"/>
      <c r="M110" s="48"/>
      <c r="N110" s="37"/>
      <c r="P110" s="56" t="s">
        <v>43</v>
      </c>
      <c r="Q110" s="48">
        <f>N108</f>
        <v>0.9165507649513213</v>
      </c>
      <c r="R110" s="48">
        <f>$B$18^2/D110</f>
        <v>0.005342764178319297</v>
      </c>
      <c r="S110" s="48">
        <f>(Q110+R110/2)/(1+R110)</f>
        <v>0.9143370597507349</v>
      </c>
      <c r="T110" s="48">
        <f>$B$18*SQRT((Q110*(1-Q110)+R110/4)/D110)/(1+R110)</f>
        <v>0.020282321938017957</v>
      </c>
      <c r="U110" s="48">
        <f>S110+T110</f>
        <v>0.9346193816887528</v>
      </c>
      <c r="V110" s="48">
        <f>S110-T110</f>
        <v>0.8940547378127169</v>
      </c>
      <c r="W110" s="49">
        <f>U110-Q110</f>
        <v>0.018068616737431542</v>
      </c>
      <c r="X110" s="50">
        <f>Q110-V110</f>
        <v>0.022496027138604324</v>
      </c>
      <c r="Z110" t="s">
        <v>55</v>
      </c>
      <c r="AA110" t="s">
        <v>56</v>
      </c>
      <c r="AB110" t="s">
        <v>57</v>
      </c>
    </row>
    <row r="111" spans="6:28" ht="12.75">
      <c r="F111" s="46"/>
      <c r="G111" s="46"/>
      <c r="H111" s="58" t="s">
        <v>37</v>
      </c>
      <c r="I111" s="52">
        <f>CHIDIST(I110,1)</f>
        <v>1.7513091325791872E-40</v>
      </c>
      <c r="J111" s="46"/>
      <c r="K111" t="s">
        <v>38</v>
      </c>
      <c r="L111" s="39" t="s">
        <v>44</v>
      </c>
      <c r="M111" s="59">
        <f>M108-N108</f>
        <v>-0.1687246779947995</v>
      </c>
      <c r="N111" s="51"/>
      <c r="P111" s="40"/>
      <c r="Q111" s="40"/>
      <c r="R111" s="40"/>
      <c r="S111" s="40"/>
      <c r="T111" s="40"/>
      <c r="U111" s="49"/>
      <c r="V111" s="40"/>
      <c r="W111" s="40"/>
      <c r="X111" s="40"/>
      <c r="Z111" s="45">
        <f>M103</f>
        <v>-0.05888721690258558</v>
      </c>
      <c r="AA111" s="45">
        <f>M111</f>
        <v>-0.1687246779947995</v>
      </c>
      <c r="AB111" s="45">
        <f>M115</f>
        <v>0.10983746109221393</v>
      </c>
    </row>
    <row r="112" spans="1:28" ht="12.75">
      <c r="A112" s="41"/>
      <c r="B112" s="41" t="s">
        <v>78</v>
      </c>
      <c r="C112" s="63"/>
      <c r="D112" s="41"/>
      <c r="H112" s="64"/>
      <c r="I112" s="59"/>
      <c r="L112" s="39" t="s">
        <v>40</v>
      </c>
      <c r="M112" s="48">
        <f>$B$18*SQRT(N108*(1-N108)/B110)</f>
        <v>0.03574151621291677</v>
      </c>
      <c r="N112" s="51"/>
      <c r="P112" s="49"/>
      <c r="Q112" s="40"/>
      <c r="R112" s="40"/>
      <c r="S112" s="40"/>
      <c r="T112" s="40"/>
      <c r="U112" s="49"/>
      <c r="V112" s="40"/>
      <c r="W112" s="40"/>
      <c r="X112" s="40"/>
      <c r="Z112" s="45">
        <f>M104</f>
        <v>0.03561182231735686</v>
      </c>
      <c r="AA112" s="45">
        <f>M112</f>
        <v>0.03574151621291677</v>
      </c>
      <c r="AB112" s="45">
        <f>M116</f>
        <v>0.05045451288003074</v>
      </c>
    </row>
    <row r="113" spans="1:24" ht="12.75">
      <c r="A113" s="41"/>
      <c r="B113" s="72"/>
      <c r="L113" s="37" t="s">
        <v>41</v>
      </c>
      <c r="M113" s="48"/>
      <c r="N113" s="59" t="b">
        <f>ABS(M111)&gt;M112</f>
        <v>1</v>
      </c>
      <c r="P113" s="40"/>
      <c r="Q113" s="40"/>
      <c r="R113" s="40"/>
      <c r="S113" s="40"/>
      <c r="T113" s="49"/>
      <c r="U113" s="40"/>
      <c r="V113" s="40"/>
      <c r="W113" s="40"/>
      <c r="X113" s="40"/>
    </row>
    <row r="114" spans="12:28" ht="12.75">
      <c r="L114" s="40"/>
      <c r="M114" s="40"/>
      <c r="N114" s="40"/>
      <c r="P114" s="40"/>
      <c r="Q114" s="73" t="s">
        <v>40</v>
      </c>
      <c r="R114" s="74">
        <f>-SQRT(W100^2+X108^2)</f>
        <v>-0.06928102257586004</v>
      </c>
      <c r="S114" s="75">
        <f>R114/Q108</f>
        <v>-0.09264322786306865</v>
      </c>
      <c r="T114" s="76" t="s">
        <v>31</v>
      </c>
      <c r="U114" s="40"/>
      <c r="V114" s="40"/>
      <c r="W114" s="40"/>
      <c r="X114" s="40"/>
      <c r="Z114" s="45">
        <f>Z111</f>
        <v>-0.05888721690258558</v>
      </c>
      <c r="AA114" s="45">
        <f>AA111</f>
        <v>-0.1687246779947995</v>
      </c>
      <c r="AB114" s="45">
        <f>AB111</f>
        <v>0.10983746109221393</v>
      </c>
    </row>
    <row r="115" spans="10:28" ht="12.75">
      <c r="J115" s="41" t="s">
        <v>47</v>
      </c>
      <c r="K115" s="77"/>
      <c r="L115" s="78" t="s">
        <v>48</v>
      </c>
      <c r="M115" s="74">
        <f>M103-M111</f>
        <v>0.10983746109221393</v>
      </c>
      <c r="N115" s="79" t="s">
        <v>49</v>
      </c>
      <c r="P115" s="40"/>
      <c r="Q115" s="80"/>
      <c r="R115" s="81">
        <f>SQRT(X100^2+W108^2)</f>
        <v>0.0608740369203739</v>
      </c>
      <c r="S115" s="82">
        <f>R115/Q108</f>
        <v>0.08140132844003486</v>
      </c>
      <c r="T115" s="83" t="s">
        <v>30</v>
      </c>
      <c r="U115" s="84"/>
      <c r="W115" s="40"/>
      <c r="X115" s="85"/>
      <c r="Z115" s="45">
        <f>W100</f>
        <v>0.03484758925114406</v>
      </c>
      <c r="AA115" s="45">
        <f>W108</f>
        <v>0.05173672935332174</v>
      </c>
      <c r="AB115" s="45">
        <f>-R114</f>
        <v>0.06928102257586004</v>
      </c>
    </row>
    <row r="116" spans="4:28" ht="12.75">
      <c r="D116" s="86"/>
      <c r="K116" s="87"/>
      <c r="L116" s="88" t="s">
        <v>50</v>
      </c>
      <c r="M116" s="89">
        <f>SQRT(M112^2+M104^2)</f>
        <v>0.05045451288003074</v>
      </c>
      <c r="N116" s="90" t="b">
        <f>ABS(M115)&gt;M116</f>
        <v>1</v>
      </c>
      <c r="P116" s="49"/>
      <c r="Q116" s="91"/>
      <c r="R116" s="88" t="str">
        <f>IF(M115&gt;R115,"s (d2&lt;d1)",IF(M115&lt;R114,"s (d2&gt;d1)","ns"))</f>
        <v>s (d2&lt;d1)</v>
      </c>
      <c r="S116" s="92"/>
      <c r="T116" s="93"/>
      <c r="U116" s="84"/>
      <c r="W116" s="40"/>
      <c r="X116" s="40"/>
      <c r="Z116" s="45">
        <f>X100</f>
        <v>0.0320773940151656</v>
      </c>
      <c r="AA116" s="45">
        <f>X108</f>
        <v>0.05987909161418847</v>
      </c>
      <c r="AB116" s="45">
        <f>R115</f>
        <v>0.0608740369203739</v>
      </c>
    </row>
    <row r="117" spans="1:24" ht="12.75">
      <c r="A117" s="111"/>
      <c r="B117" s="112"/>
      <c r="C117" s="112"/>
      <c r="D117" s="112"/>
      <c r="E117" s="112"/>
      <c r="F117" s="112"/>
      <c r="G117" s="112"/>
      <c r="H117" s="112"/>
      <c r="I117" s="112"/>
      <c r="J117" s="94"/>
      <c r="W117" s="40"/>
      <c r="X117" s="95"/>
    </row>
    <row r="118" spans="1:24" ht="12.75">
      <c r="A118" s="113"/>
      <c r="B118" s="112"/>
      <c r="C118" s="112"/>
      <c r="D118" s="112"/>
      <c r="E118" s="112"/>
      <c r="F118" s="112"/>
      <c r="G118" s="112"/>
      <c r="H118" s="96"/>
      <c r="I118" s="112"/>
      <c r="J118" s="94"/>
      <c r="L118" s="55" t="s">
        <v>25</v>
      </c>
      <c r="M118" s="81">
        <f>(M115/(M116/B18))^2</f>
        <v>18.20521582291469</v>
      </c>
      <c r="N118" s="97"/>
      <c r="P118" s="98"/>
      <c r="Q118" s="43"/>
      <c r="R118" s="97"/>
      <c r="S118" s="98"/>
      <c r="U118" s="97"/>
      <c r="W118" s="40"/>
      <c r="X118" s="40"/>
    </row>
    <row r="119" spans="1:23" ht="12.75">
      <c r="A119" s="112"/>
      <c r="B119" s="114"/>
      <c r="C119" s="114"/>
      <c r="D119" s="114"/>
      <c r="E119" s="112"/>
      <c r="F119" s="115"/>
      <c r="G119" s="112"/>
      <c r="H119" s="115"/>
      <c r="I119" s="115"/>
      <c r="J119" s="94"/>
      <c r="L119" s="58" t="s">
        <v>37</v>
      </c>
      <c r="M119" s="59">
        <f>CHIDIST(M118,1)</f>
        <v>1.9833493417310355E-05</v>
      </c>
      <c r="N119" s="61" t="b">
        <f>M119&lt;0.05</f>
        <v>1</v>
      </c>
      <c r="O119" s="43"/>
      <c r="P119" s="99"/>
      <c r="R119" s="100"/>
      <c r="S119" s="99"/>
      <c r="U119" s="97"/>
      <c r="V119" s="49"/>
      <c r="W119" s="40"/>
    </row>
  </sheetData>
  <mergeCells count="2">
    <mergeCell ref="C3:D3"/>
    <mergeCell ref="A5:A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College London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Wallis</dc:creator>
  <cp:keywords/>
  <dc:description/>
  <cp:lastModifiedBy>Sean Wallis</cp:lastModifiedBy>
  <dcterms:created xsi:type="dcterms:W3CDTF">2017-04-06T05:51:54Z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