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6585" activeTab="1"/>
  </bookViews>
  <sheets>
    <sheet name="analysis of trend" sheetId="1" r:id="rId1"/>
    <sheet name="BNC vs ICE-GB" sheetId="2" r:id="rId2"/>
  </sheets>
  <definedNames/>
  <calcPr fullCalcOnLoad="1"/>
</workbook>
</file>

<file path=xl/sharedStrings.xml><?xml version="1.0" encoding="utf-8"?>
<sst xmlns="http://schemas.openxmlformats.org/spreadsheetml/2006/main" count="155" uniqueCount="97">
  <si>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</si>
  <si>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</si>
  <si>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</si>
  <si>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</si>
  <si>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</si>
  <si>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</si>
  <si>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</si>
  <si>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</si>
  <si>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</si>
  <si>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</si>
  <si>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</si>
  <si>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</si>
  <si>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</si>
  <si>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</si>
  <si>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</si>
  <si>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</si>
  <si>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</si>
  <si>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</si>
  <si>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</si>
  <si>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</si>
  <si>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</si>
  <si>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</si>
  <si>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</si>
  <si>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</si>
  <si>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</si>
  <si>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</si>
  <si>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</si>
  <si>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</si>
  <si>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</si>
  <si>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0"/>
      </rPr>
      <t>Enter data in this row</t>
    </r>
  </si>
  <si>
    <r>
      <t>¯</t>
    </r>
    <r>
      <rPr>
        <b/>
        <sz val="10"/>
        <rFont val="Arial"/>
        <family val="0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</si>
  <si>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</si>
  <si>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</si>
  <si>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</si>
  <si>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</si>
  <si>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</si>
  <si>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</si>
  <si>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</si>
  <si>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</si>
  <si>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</si>
  <si>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</si>
  <si>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</si>
  <si>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</si>
  <si>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</si>
  <si>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</si>
  <si>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</si>
  <si>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</si>
  <si>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</si>
  <si>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</si>
  <si>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</si>
  <si>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</si>
  <si>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</si>
  <si>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</si>
  <si>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</si>
  <si>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</si>
  <si>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</si>
  <si>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</si>
  <si>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</si>
  <si>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</si>
  <si>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</si>
  <si>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</si>
  <si>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</si>
  <si>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separability tests</t>
  </si>
  <si>
    <t>population proportion tests</t>
  </si>
  <si>
    <t>w-</t>
  </si>
  <si>
    <t>w+</t>
  </si>
  <si>
    <t>p1-p2</t>
  </si>
  <si>
    <t>Difference in probabilities</t>
  </si>
  <si>
    <t>(paired 2x1 separability test, Wilson)</t>
  </si>
  <si>
    <t>ICE-GB</t>
  </si>
  <si>
    <t>BNC</t>
  </si>
  <si>
    <t>Comparing bare adjectives vs. adjective phrases</t>
  </si>
  <si>
    <t>Gradient test</t>
  </si>
  <si>
    <t>difference of differences</t>
  </si>
  <si>
    <t>adjective diff (p(x)-p(x-1))</t>
  </si>
  <si>
    <t>AJP diff</t>
  </si>
  <si>
    <t>Tests if gradient is steeper</t>
  </si>
  <si>
    <t>See Wallis (2018)</t>
  </si>
  <si>
    <t>Sources</t>
  </si>
  <si>
    <t>Data from ICE-GB R2</t>
  </si>
  <si>
    <t>ICECUP 3.1.1</t>
  </si>
  <si>
    <t>Search options: normal, skip over punctuation and pauses, discourse markers (except connectives)</t>
  </si>
  <si>
    <t>Data from BNC</t>
  </si>
  <si>
    <t>https://www.english-corpora.org/bnc</t>
  </si>
  <si>
    <t>Chart function</t>
  </si>
  <si>
    <t>Principal statistical evaluation is a subset test - each additional term creates a subset of the first set, so we use a goodness of fit test (Wallis 2013).</t>
  </si>
  <si>
    <t>To compare results from different trends we selectively employ either point tests (one point is different from another) or gradient tests (one gradient is different from another). See Wallis (2018).</t>
  </si>
  <si>
    <t>Example phenomena capable of analysis include:</t>
  </si>
  <si>
    <r>
      <t xml:space="preserve">WALLIS, S.A. 2019, Investigating the additive probability of repeated language production decisions, </t>
    </r>
    <r>
      <rPr>
        <i/>
        <sz val="10"/>
        <rFont val="Arial"/>
        <family val="2"/>
      </rPr>
      <t>International Journal of Corpus Linguistics</t>
    </r>
  </si>
  <si>
    <t>See also http://corplingstats.wordpress.com/2012/12/04/linguistic-interaction</t>
  </si>
  <si>
    <t>WALLIS, S.A. 2013, Binomial confidence intervals and contingency tests: Mathematical fundamentals and the evaluation of alternative methods. Journal of Quantitative Linguistics, 20(3), 178-208.</t>
  </si>
  <si>
    <t>WALLIS, S.A. 2018, Comparing χ² tables for separability of distribution and effect: Meta-tests for comparing homogeneity and goodness of fit test outcomes. Journal of Quantitative Linguistics. 10.1080/09296174.2018.1496537</t>
  </si>
  <si>
    <r>
      <t>(</t>
    </r>
    <r>
      <rPr>
        <b/>
        <sz val="10"/>
        <rFont val="Arial"/>
        <family val="2"/>
      </rPr>
      <t>erroneous</t>
    </r>
    <r>
      <rPr>
        <sz val="10"/>
        <rFont val="Arial"/>
        <family val="0"/>
      </rPr>
      <t xml:space="preserve"> but</t>
    </r>
  </si>
  <si>
    <t>common)</t>
  </si>
  <si>
    <t>Wallis (2013)</t>
  </si>
  <si>
    <t>ADJECTIVES</t>
  </si>
  <si>
    <t>AJPs (for comparison)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</si>
</sst>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  <numFmt numFmtId="173" formatCode="#,##0_ ;\-#,##0\ 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" fillId="10" borderId="0" xfId="0" applyFont="1" applyFill="1" applyAlignment="1">
      <alignment/>
    </xf>
    <xf numFmtId="3" fontId="0" fillId="10" borderId="0" xfId="0" applyNumberFormat="1" applyFill="1" applyAlignment="1">
      <alignment/>
    </xf>
    <xf numFmtId="164" fontId="0" fillId="0" borderId="0" xfId="0" applyNumberFormat="1" applyAlignment="1">
      <alignment/>
    </xf>
    <xf numFmtId="173" fontId="0" fillId="10" borderId="0" xfId="42" applyNumberFormat="1" applyFont="1" applyFill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Adjectives (ICE vs BNC) Probability p (Wilson intervals)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525"/>
          <c:w val="0.949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ICE-GB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'BNC vs ICE-GB'!$D$20:$H$20</c:f>
                <c:numCache>
                  <c:ptCount val="5"/>
                  <c:pt idx="0">
                    <c:v>0.0017705841209764532</c:v>
                  </c:pt>
                  <c:pt idx="1">
                    <c:v>0.002820132420548471</c:v>
                  </c:pt>
                  <c:pt idx="2">
                    <c:v>0.009244165505256276</c:v>
                  </c:pt>
                  <c:pt idx="3">
                    <c:v>0.04598937746428953</c:v>
                  </c:pt>
                  <c:pt idx="4">
                    <c:v>0.22078678846005662</c:v>
                  </c:pt>
                </c:numCache>
              </c:numRef>
            </c:plus>
            <c:minus>
              <c:numRef>
                <c:f>'BNC vs ICE-GB'!$D$21:$H$21</c:f>
                <c:numCache>
                  <c:ptCount val="5"/>
                  <c:pt idx="0">
                    <c:v>0.0017584294415165895</c:v>
                  </c:pt>
                  <c:pt idx="1">
                    <c:v>0.0027346396664657932</c:v>
                  </c:pt>
                  <c:pt idx="2">
                    <c:v>0.008161466926748764</c:v>
                  </c:pt>
                  <c:pt idx="3">
                    <c:v>0.03015936645836926</c:v>
                  </c:pt>
                  <c:pt idx="4">
                    <c:v>0.051380623432255135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'BNC vs ICE-GB'!$D$6:$H$6</c:f>
              <c:numCache/>
            </c:numRef>
          </c:xVal>
          <c:yVal>
            <c:numRef>
              <c:f>'BNC vs ICE-GB'!$D$10:$H$10</c:f>
              <c:numCache/>
            </c:numRef>
          </c:yVal>
          <c:smooth val="0"/>
        </c:ser>
        <c:ser>
          <c:idx val="1"/>
          <c:order val="1"/>
          <c:tx>
            <c:v>BNC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'BNC vs ICE-GB'!$D$42:$I$42</c:f>
                <c:numCache>
                  <c:ptCount val="6"/>
                  <c:pt idx="0">
                    <c:v>0.00015345064863842538</c:v>
                  </c:pt>
                  <c:pt idx="1">
                    <c:v>0.00024480350865289507</c:v>
                  </c:pt>
                  <c:pt idx="2">
                    <c:v>0.0006887555890780935</c:v>
                  </c:pt>
                  <c:pt idx="3">
                    <c:v>0.0031732215071253998</c:v>
                  </c:pt>
                  <c:pt idx="4">
                    <c:v>0.020320363926699746</c:v>
                  </c:pt>
                  <c:pt idx="5">
                    <c:v>0.08994674075076323</c:v>
                  </c:pt>
                </c:numCache>
              </c:numRef>
            </c:plus>
            <c:minus>
              <c:numRef>
                <c:f>'BNC vs ICE-GB'!$D$43:$I$43</c:f>
                <c:numCache>
                  <c:ptCount val="6"/>
                  <c:pt idx="0">
                    <c:v>0.00015335526028643041</c:v>
                  </c:pt>
                  <c:pt idx="1">
                    <c:v>0.00024412227935683833</c:v>
                  </c:pt>
                  <c:pt idx="2">
                    <c:v>0.0006796114367208113</c:v>
                  </c:pt>
                  <c:pt idx="3">
                    <c:v>0.0029846537645749753</c:v>
                  </c:pt>
                  <c:pt idx="4">
                    <c:v>0.01671166743469909</c:v>
                  </c:pt>
                  <c:pt idx="5">
                    <c:v>0.05161746624896574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'BNC vs ICE-GB'!$D$28:$I$28</c:f>
              <c:numCache/>
            </c:numRef>
          </c:xVal>
          <c:yVal>
            <c:numRef>
              <c:f>'BNC vs ICE-GB'!$D$32:$I$32</c:f>
              <c:numCache/>
            </c:numRef>
          </c:yVal>
          <c:smooth val="0"/>
        </c:ser>
        <c:axId val="23509300"/>
        <c:axId val="10257109"/>
      </c:scatterChart>
      <c:val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57109"/>
        <c:crosses val="autoZero"/>
        <c:crossBetween val="midCat"/>
        <c:dispUnits/>
        <c:majorUnit val="1"/>
      </c:valAx>
      <c:valAx>
        <c:axId val="102571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93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AJPs 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25"/>
          <c:w val="0.949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4"/>
                  <c:pt idx="0">
                    <c:v>0.0017668010683179797</c:v>
                  </c:pt>
                  <c:pt idx="1">
                    <c:v>0.0027794475929954518</c:v>
                  </c:pt>
                  <c:pt idx="2">
                    <c:v>0.008666094799576446</c:v>
                  </c:pt>
                  <c:pt idx="3">
                    <c:v>0.04511526896809422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4"/>
                  <c:pt idx="0">
                    <c:v>0.0017545947992765648</c:v>
                  </c:pt>
                  <c:pt idx="1">
                    <c:v>0.002692735369850655</c:v>
                  </c:pt>
                  <c:pt idx="2">
                    <c:v>0.007500176118339488</c:v>
                  </c:pt>
                  <c:pt idx="3">
                    <c:v>0.023115505758976772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'analysis of trend'!$D$6:$G$6</c:f>
              <c:numCache>
                <c:ptCount val="4"/>
                <c:pt idx="0">
                  <c:v>0.19316604875623952</c:v>
                </c:pt>
                <c:pt idx="1">
                  <c:v>0.07891703524996649</c:v>
                </c:pt>
                <c:pt idx="2">
                  <c:v>0.05264945652173913</c:v>
                </c:pt>
                <c:pt idx="3">
                  <c:v>0.04516129032258064</c:v>
                </c:pt>
              </c:numCache>
            </c:numRef>
          </c:yVal>
          <c:smooth val="0"/>
        </c:ser>
        <c:axId val="25205118"/>
        <c:axId val="25519471"/>
      </c:scatterChart>
      <c:val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9471"/>
        <c:crosses val="autoZero"/>
        <c:crossBetween val="midCat"/>
        <c:dispUnits/>
        <c:majorUnit val="1"/>
      </c:valAx>
      <c:valAx>
        <c:axId val="25519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11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ADJECTIVES vs AJPs (ICE-GB) Probability p (Wilson intervals)</a:t>
            </a:r>
          </a:p>
        </c:rich>
      </c:tx>
      <c:layout>
        <c:manualLayout>
          <c:xMode val="factor"/>
          <c:yMode val="factor"/>
          <c:x val="0.00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98"/>
          <c:w val="0.9505"/>
          <c:h val="0.85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'BNC vs ICE-GB'!$A$4</c:f>
              <c:strCache>
                <c:ptCount val="1"/>
                <c:pt idx="0">
                  <c:v>ADJECTIVES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'BNC vs ICE-GB'!$D$20:$H$20</c:f>
                <c:numCache>
                  <c:ptCount val="5"/>
                  <c:pt idx="0">
                    <c:v>0.0017705841209764532</c:v>
                  </c:pt>
                  <c:pt idx="1">
                    <c:v>0.002820132420548471</c:v>
                  </c:pt>
                  <c:pt idx="2">
                    <c:v>0.009244165505256276</c:v>
                  </c:pt>
                  <c:pt idx="3">
                    <c:v>0.04598937746428953</c:v>
                  </c:pt>
                  <c:pt idx="4">
                    <c:v>0.22078678846005662</c:v>
                  </c:pt>
                </c:numCache>
              </c:numRef>
            </c:plus>
            <c:minus>
              <c:numRef>
                <c:f>'BNC vs ICE-GB'!$D$21:$H$21</c:f>
                <c:numCache>
                  <c:ptCount val="5"/>
                  <c:pt idx="0">
                    <c:v>0.0017584294415165895</c:v>
                  </c:pt>
                  <c:pt idx="1">
                    <c:v>0.0027346396664657932</c:v>
                  </c:pt>
                  <c:pt idx="2">
                    <c:v>0.008161466926748764</c:v>
                  </c:pt>
                  <c:pt idx="3">
                    <c:v>0.03015936645836926</c:v>
                  </c:pt>
                  <c:pt idx="4">
                    <c:v>0.051380623432255135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'BNC vs ICE-GB'!$D$6:$H$6</c:f>
              <c:numCache/>
            </c:numRef>
          </c:xVal>
          <c:yVal>
            <c:numRef>
              <c:f>'BNC vs ICE-GB'!$D$10:$H$10</c:f>
              <c:numCache/>
            </c:numRef>
          </c:yVal>
          <c:smooth val="0"/>
        </c:ser>
        <c:ser>
          <c:idx val="0"/>
          <c:order val="1"/>
          <c:tx>
            <c:strRef>
              <c:f>'BNC vs ICE-GB'!$A$1</c:f>
              <c:strCache>
                <c:ptCount val="1"/>
                <c:pt idx="0">
                  <c:v>AJPs (for comparison)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5"/>
                  <c:pt idx="0">
                    <c:v>0.0017668010683179797</c:v>
                  </c:pt>
                  <c:pt idx="1">
                    <c:v>0.0027794475929954518</c:v>
                  </c:pt>
                  <c:pt idx="2">
                    <c:v>0.008666094799576446</c:v>
                  </c:pt>
                  <c:pt idx="3">
                    <c:v>0.04511526896809422</c:v>
                  </c:pt>
                  <c:pt idx="4">
                    <c:v>0.354329504860854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5"/>
                  <c:pt idx="0">
                    <c:v>0.0017545947992765648</c:v>
                  </c:pt>
                  <c:pt idx="1">
                    <c:v>0.002692735369850655</c:v>
                  </c:pt>
                  <c:pt idx="2">
                    <c:v>0.007500176118339488</c:v>
                  </c:pt>
                  <c:pt idx="3">
                    <c:v>0.023115505758976772</c:v>
                  </c:pt>
                  <c:pt idx="4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'analysis of trend'!$D$6:$G$6</c:f>
              <c:numCache>
                <c:ptCount val="4"/>
                <c:pt idx="0">
                  <c:v>0.19316604875623952</c:v>
                </c:pt>
                <c:pt idx="1">
                  <c:v>0.07891703524996649</c:v>
                </c:pt>
                <c:pt idx="2">
                  <c:v>0.05264945652173913</c:v>
                </c:pt>
                <c:pt idx="3">
                  <c:v>0.04516129032258064</c:v>
                </c:pt>
              </c:numCache>
            </c:numRef>
          </c:yVal>
          <c:smooth val="0"/>
        </c:ser>
        <c:axId val="28348648"/>
        <c:axId val="53811241"/>
      </c:scatterChart>
      <c:val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1241"/>
        <c:crosses val="autoZero"/>
        <c:crossBetween val="midCat"/>
        <c:dispUnits/>
        <c:majorUnit val="1"/>
      </c:val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64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18</xdr:row>
      <xdr:rowOff>76200</xdr:rowOff>
    </xdr:from>
    <xdr:to>
      <xdr:col>17</xdr:col>
      <xdr:colOff>266700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9067800" y="3228975"/>
        <a:ext cx="3838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361950</xdr:colOff>
      <xdr:row>1</xdr:row>
      <xdr:rowOff>9525</xdr:rowOff>
    </xdr:from>
    <xdr:to>
      <xdr:col>17</xdr:col>
      <xdr:colOff>257175</xdr:colOff>
      <xdr:row>17</xdr:row>
      <xdr:rowOff>47625</xdr:rowOff>
    </xdr:to>
    <xdr:graphicFrame>
      <xdr:nvGraphicFramePr>
        <xdr:cNvPr id="2" name="Chart 18"/>
        <xdr:cNvGraphicFramePr/>
      </xdr:nvGraphicFramePr>
      <xdr:xfrm>
        <a:off x="9058275" y="209550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44</xdr:row>
      <xdr:rowOff>38100</xdr:rowOff>
    </xdr:from>
    <xdr:to>
      <xdr:col>17</xdr:col>
      <xdr:colOff>276225</xdr:colOff>
      <xdr:row>62</xdr:row>
      <xdr:rowOff>57150</xdr:rowOff>
    </xdr:to>
    <xdr:graphicFrame>
      <xdr:nvGraphicFramePr>
        <xdr:cNvPr id="3" name="Chart 1"/>
        <xdr:cNvGraphicFramePr/>
      </xdr:nvGraphicFramePr>
      <xdr:xfrm>
        <a:off x="9077325" y="7562850"/>
        <a:ext cx="38385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1" t="s">
        <v>7</v>
      </c>
      <c r="H1" s="10" t="s">
        <v>30</v>
      </c>
    </row>
    <row r="2" spans="1:8" ht="15">
      <c r="A2" s="22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8" t="s">
        <v>2</v>
      </c>
      <c r="C3" s="19">
        <f>C4-D4</f>
        <v>155819</v>
      </c>
      <c r="D3" s="19">
        <f>D4-E4</f>
        <v>34361</v>
      </c>
      <c r="E3" s="19">
        <f>E4-F4</f>
        <v>2789</v>
      </c>
      <c r="F3" s="19">
        <f>F4-G4</f>
        <v>148</v>
      </c>
      <c r="G3" s="19">
        <f>G4-H4</f>
        <v>7</v>
      </c>
      <c r="H3" s="19">
        <f>'BNC vs ICE-GB'!H1</f>
        <v>0</v>
      </c>
    </row>
    <row r="4" spans="2:21" ht="12.75">
      <c r="B4" s="18" t="s">
        <v>10</v>
      </c>
      <c r="C4" s="34">
        <f>'BNC vs ICE-GB'!C2</f>
        <v>193124</v>
      </c>
      <c r="D4" s="34">
        <f>'BNC vs ICE-GB'!D2</f>
        <v>37305</v>
      </c>
      <c r="E4" s="34">
        <f>'BNC vs ICE-GB'!E2</f>
        <v>2944</v>
      </c>
      <c r="F4" s="34">
        <f>'BNC vs ICE-GB'!F2</f>
        <v>155</v>
      </c>
      <c r="G4" s="34">
        <f>'BNC vs ICE-GB'!G2</f>
        <v>7</v>
      </c>
      <c r="H4" s="34">
        <f>'BNC vs ICE-GB'!H2</f>
        <v>0</v>
      </c>
      <c r="I4" s="20"/>
      <c r="J4" s="10" t="s">
        <v>29</v>
      </c>
      <c r="N4" s="1"/>
      <c r="Q4" s="1"/>
      <c r="R4" s="1"/>
      <c r="S4" s="1"/>
      <c r="T4" s="1"/>
      <c r="U4" s="1"/>
    </row>
    <row r="5" spans="1:21" ht="12.75">
      <c r="A5" s="17"/>
      <c r="B5" s="18"/>
      <c r="C5" s="19"/>
      <c r="D5" s="19"/>
      <c r="E5" s="19"/>
      <c r="F5" s="17"/>
      <c r="G5" s="17"/>
      <c r="H5" s="17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5">
        <f>D4/C4</f>
        <v>0.19316604875623952</v>
      </c>
      <c r="E6" s="25">
        <f>E4/D4</f>
        <v>0.07891703524996649</v>
      </c>
      <c r="F6" s="25">
        <f>F4/E4</f>
        <v>0.05264945652173913</v>
      </c>
      <c r="G6" s="25">
        <f>G4/F4</f>
        <v>0.04516129032258064</v>
      </c>
      <c r="H6" s="25">
        <f>H4/G4</f>
        <v>0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29" customFormat="1" ht="18">
      <c r="A8" s="29" t="s">
        <v>50</v>
      </c>
      <c r="L8" s="30"/>
      <c r="M8" s="30"/>
      <c r="U8" s="30"/>
    </row>
    <row r="9" spans="12:21" ht="12.75">
      <c r="L9" s="1"/>
      <c r="M9" s="2"/>
      <c r="U9" s="1"/>
    </row>
    <row r="10" spans="1:21" ht="15">
      <c r="A10" s="22" t="s">
        <v>38</v>
      </c>
      <c r="B10" s="8" t="s">
        <v>61</v>
      </c>
      <c r="D10" s="25">
        <f>(D6+$C$19*$C$19/(2*C4))/(1+$C$19*$C$19/C4)</f>
        <v>0.19317215189076023</v>
      </c>
      <c r="E10" s="25">
        <f>(E6+$C$19*$C$19/(2*D4))/(1+$C$19*$C$19/D4)</f>
        <v>0.07896039136153889</v>
      </c>
      <c r="F10" s="25">
        <f>(F6+$C$19*$C$19/(2*E4))/(1+$C$19*$C$19/E4)</f>
        <v>0.05323241586235761</v>
      </c>
      <c r="G10" s="25">
        <f>(G6+$C$19*$C$19/(2*F4))/(1+$C$19*$C$19/F4)</f>
        <v>0.05616117192713937</v>
      </c>
      <c r="H10" s="25">
        <f>(H6+$C$19*$C$19/(2*G4))/(1+$C$19*$C$19/G4)</f>
        <v>0.177164752430427</v>
      </c>
      <c r="J10" t="s">
        <v>43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0.0017606979337972722</v>
      </c>
      <c r="E11" s="2">
        <f>($C$19*SQRT((E6*(1-E6)/D4+$C$19*$C$19/(4*D4*D4))))/(1+$C$19*$C$19/D4)</f>
        <v>0.0027360914814230533</v>
      </c>
      <c r="F11" s="2">
        <f>($C$19*SQRT((F6*(1-F6)/E4+$C$19*$C$19/(4*E4*E4))))/(1+$C$19*$C$19/E4)</f>
        <v>0.008083135458957967</v>
      </c>
      <c r="G11" s="2">
        <f>($C$19*SQRT((G6*(1-G6)/F4+$C$19*$C$19/(4*F4*F4))))/(1+$C$19*$C$19/F4)</f>
        <v>0.0341153873635355</v>
      </c>
      <c r="H11" s="2">
        <f>($C$19*SQRT((H6*(1-H6)/G4+$C$19*$C$19/(4*G4*G4))))/(1+$C$19*$C$19/G4)</f>
        <v>0.177164752430427</v>
      </c>
      <c r="J11" s="16" t="s">
        <v>45</v>
      </c>
      <c r="L11" s="2"/>
      <c r="M11" s="2"/>
      <c r="U11" s="2"/>
    </row>
    <row r="12" spans="1:21" ht="12.75">
      <c r="A12" t="s">
        <v>42</v>
      </c>
      <c r="B12" s="8" t="s">
        <v>3</v>
      </c>
      <c r="D12" s="2">
        <f>D10+D11</f>
        <v>0.1949328498245575</v>
      </c>
      <c r="E12" s="2">
        <f>E10+E11</f>
        <v>0.08169648284296194</v>
      </c>
      <c r="F12" s="2">
        <f>F10+F11</f>
        <v>0.061315551321315574</v>
      </c>
      <c r="G12" s="2">
        <f>G10+G11</f>
        <v>0.09027655929067487</v>
      </c>
      <c r="H12" s="2">
        <f>H10+H11</f>
        <v>0.354329504860854</v>
      </c>
      <c r="U12" s="2"/>
    </row>
    <row r="13" spans="2:21" ht="12.75">
      <c r="B13" s="8" t="s">
        <v>1</v>
      </c>
      <c r="C13" s="2"/>
      <c r="D13" s="2">
        <f>D10-D11</f>
        <v>0.19141145395696296</v>
      </c>
      <c r="E13" s="2">
        <f>E10-E11</f>
        <v>0.07622429988011584</v>
      </c>
      <c r="F13" s="2">
        <f>F10-F11</f>
        <v>0.04514928040339964</v>
      </c>
      <c r="G13" s="2">
        <f>G10-G11</f>
        <v>0.02204578456360387</v>
      </c>
      <c r="H13" s="2">
        <f>H10-H11</f>
        <v>0</v>
      </c>
      <c r="J13" s="2"/>
      <c r="K13" s="2"/>
      <c r="U13" s="2"/>
    </row>
    <row r="14" spans="2:21" ht="12.75">
      <c r="B14" s="23" t="s">
        <v>6</v>
      </c>
      <c r="C14" s="23"/>
      <c r="D14" s="23"/>
      <c r="E14" s="23" t="str">
        <f>IF((D6&lt;E13),"s+",IF((D6&gt;E12),"s-","ns"))</f>
        <v>s-</v>
      </c>
      <c r="F14" s="23" t="str">
        <f>IF((E6&lt;F13),"s+",IF((E6&gt;F12),"s-","ns"))</f>
        <v>s-</v>
      </c>
      <c r="G14" s="23" t="str">
        <f>IF((F6&lt;G13),"s+",IF((F6&gt;G12),"s-","ns"))</f>
        <v>ns</v>
      </c>
      <c r="H14" s="23" t="str">
        <f>IF((G6&lt;H13),"s+",IF((G6&gt;H12),"s-","ns"))</f>
        <v>ns</v>
      </c>
      <c r="J14" t="s">
        <v>51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J15" t="s">
        <v>94</v>
      </c>
      <c r="N15" s="2"/>
      <c r="U15" s="2"/>
    </row>
    <row r="16" spans="1:21" ht="12.75">
      <c r="A16" t="s">
        <v>46</v>
      </c>
      <c r="B16" s="13" t="s">
        <v>48</v>
      </c>
      <c r="C16" s="27"/>
      <c r="D16" s="28">
        <f>D11+(D10-D6)</f>
        <v>0.0017668010683179797</v>
      </c>
      <c r="E16" s="28">
        <f>E11+(E10-E6)</f>
        <v>0.0027794475929954518</v>
      </c>
      <c r="F16" s="28">
        <f>F11+(F10-F6)</f>
        <v>0.008666094799576446</v>
      </c>
      <c r="G16" s="28">
        <f>G11+(G10-G6)</f>
        <v>0.04511526896809422</v>
      </c>
      <c r="H16" s="28">
        <f>H11+(H10-H6)</f>
        <v>0.354329504860854</v>
      </c>
      <c r="N16" s="2"/>
      <c r="U16" s="2"/>
    </row>
    <row r="17" spans="2:21" ht="12.75">
      <c r="B17" s="13" t="s">
        <v>49</v>
      </c>
      <c r="C17" s="27"/>
      <c r="D17" s="28">
        <f>D11-(D10-D6)</f>
        <v>0.0017545947992765648</v>
      </c>
      <c r="E17" s="28">
        <f>E11-(E10-E6)</f>
        <v>0.002692735369850655</v>
      </c>
      <c r="F17" s="28">
        <f>F11-(F10-F6)</f>
        <v>0.007500176118339488</v>
      </c>
      <c r="G17" s="28">
        <f>G11-(G10-G6)</f>
        <v>0.023115505758976772</v>
      </c>
      <c r="H17" s="28">
        <f>H11-(H10-H6)</f>
        <v>0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39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2" t="s">
        <v>24</v>
      </c>
      <c r="B21" s="11" t="s">
        <v>4</v>
      </c>
      <c r="J21" s="2"/>
      <c r="K21" s="2"/>
    </row>
    <row r="22" spans="1:11" ht="12.75">
      <c r="A22" t="s">
        <v>47</v>
      </c>
      <c r="B22" s="8" t="s">
        <v>17</v>
      </c>
      <c r="E22" s="4">
        <f>E4</f>
        <v>2944</v>
      </c>
      <c r="F22" s="4">
        <f>F4</f>
        <v>155</v>
      </c>
      <c r="G22" s="4">
        <f>G4</f>
        <v>7</v>
      </c>
      <c r="H22" s="4">
        <f>H4</f>
        <v>0</v>
      </c>
      <c r="J22" s="2" t="s">
        <v>31</v>
      </c>
      <c r="K22" s="2"/>
    </row>
    <row r="23" spans="2:21" ht="12.75">
      <c r="B23" s="8" t="s">
        <v>18</v>
      </c>
      <c r="E23" s="4">
        <f>D4-E22</f>
        <v>34361</v>
      </c>
      <c r="F23" s="4">
        <f>E4-F22</f>
        <v>2789</v>
      </c>
      <c r="G23" s="4">
        <f>F4-G22</f>
        <v>148</v>
      </c>
      <c r="H23" s="4">
        <f>G4-H22</f>
        <v>7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7206.059448851515</v>
      </c>
      <c r="F25" s="4">
        <f>E4*E4/D4</f>
        <v>232.33175177590135</v>
      </c>
      <c r="G25" s="4">
        <f>F4*F4/E4</f>
        <v>8.160665760869565</v>
      </c>
      <c r="H25" s="4">
        <f>G4*G4/F4</f>
        <v>0.3161290322580645</v>
      </c>
      <c r="J25" t="s">
        <v>25</v>
      </c>
      <c r="U25" s="2"/>
    </row>
    <row r="26" spans="2:21" ht="12.75">
      <c r="B26" s="8" t="s">
        <v>19</v>
      </c>
      <c r="E26" s="4">
        <f>D4-E25</f>
        <v>30098.940551148484</v>
      </c>
      <c r="F26" s="4">
        <f>E4-F25</f>
        <v>2711.6682482240985</v>
      </c>
      <c r="G26" s="4">
        <f>F4-G25</f>
        <v>146.83933423913044</v>
      </c>
      <c r="H26" s="4">
        <f>G4-H25</f>
        <v>6.683870967741935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0" ref="E28:H29">(E22-E25)^2/E25</f>
        <v>2520.816109620023</v>
      </c>
      <c r="F28" s="6">
        <f t="shared" si="0"/>
        <v>25.73991624914834</v>
      </c>
      <c r="G28" s="6">
        <f t="shared" si="0"/>
        <v>0.16507783162919043</v>
      </c>
      <c r="H28" s="6">
        <f t="shared" si="0"/>
        <v>0.3161290322580645</v>
      </c>
      <c r="L28" s="2"/>
    </row>
    <row r="29" spans="2:13" ht="12.75">
      <c r="B29" s="12" t="s">
        <v>23</v>
      </c>
      <c r="C29" s="5"/>
      <c r="D29" s="5"/>
      <c r="E29" s="6">
        <f t="shared" si="0"/>
        <v>603.5146225388111</v>
      </c>
      <c r="F29" s="6">
        <f t="shared" si="0"/>
        <v>2.2053582095251283</v>
      </c>
      <c r="G29" s="6">
        <f t="shared" si="0"/>
        <v>0.009174278918079754</v>
      </c>
      <c r="H29" s="6">
        <f t="shared" si="0"/>
        <v>0.01495204882301659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3124.330732158834</v>
      </c>
      <c r="F30" s="6">
        <f>F28+F29</f>
        <v>27.945274458673467</v>
      </c>
      <c r="G30" s="6">
        <f>G28+G29</f>
        <v>0.1742521105472702</v>
      </c>
      <c r="H30" s="6">
        <f>H28+H29</f>
        <v>0.3310810810810811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0</v>
      </c>
      <c r="F31" s="7">
        <f>CHIDIST(F30,1)</f>
        <v>1.2479535306917041E-07</v>
      </c>
      <c r="G31" s="7">
        <f>CHIDIST(G30,1)</f>
        <v>0.6763601438865974</v>
      </c>
      <c r="H31" s="7">
        <f>CHIDIST(H30,1)</f>
        <v>0.5650232008417054</v>
      </c>
      <c r="J31" s="2"/>
      <c r="K31" s="2"/>
    </row>
    <row r="32" spans="2:8" ht="12.75">
      <c r="B32" s="23" t="s">
        <v>6</v>
      </c>
      <c r="C32" s="24"/>
      <c r="D32" s="24"/>
      <c r="E32" s="23" t="str">
        <f>IF((E31&lt;0.05),"s","ns")</f>
        <v>s</v>
      </c>
      <c r="F32" s="23" t="str">
        <f>IF((F31&lt;0.05),"s","ns")</f>
        <v>s</v>
      </c>
      <c r="G32" s="23" t="str">
        <f>IF((G31&lt;0.05),"s","ns")</f>
        <v>ns</v>
      </c>
      <c r="H32" s="23" t="str">
        <f>IF((H31&lt;0.05),"s","ns")</f>
        <v>ns</v>
      </c>
    </row>
    <row r="34" spans="1:10" ht="15">
      <c r="A34" s="22" t="s">
        <v>41</v>
      </c>
      <c r="B34" s="8" t="s">
        <v>14</v>
      </c>
      <c r="C34" s="2"/>
      <c r="D34" s="1">
        <f>D4</f>
        <v>37305</v>
      </c>
      <c r="E34" s="1">
        <f>E4</f>
        <v>2944</v>
      </c>
      <c r="F34" s="1">
        <f>F4</f>
        <v>155</v>
      </c>
      <c r="G34" s="1">
        <f>G4</f>
        <v>7</v>
      </c>
      <c r="H34" s="1">
        <f>H4</f>
        <v>0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173.49046242127687</v>
      </c>
      <c r="E35" s="2">
        <f>SQRT(E34*(1-E6))</f>
        <v>52.07368095520134</v>
      </c>
      <c r="F35" s="2">
        <f>SQRT(F34*(1-F6))</f>
        <v>12.117728097260247</v>
      </c>
      <c r="G35" s="2">
        <f>SQRT(G34*(1-G6))</f>
        <v>2.5853183493995346</v>
      </c>
      <c r="H35" s="2">
        <f>SQRT(H34*(1-H6))</f>
        <v>0</v>
      </c>
      <c r="J35" s="15" t="s">
        <v>44</v>
      </c>
    </row>
    <row r="36" spans="1:11" ht="12.75">
      <c r="A36" t="s">
        <v>42</v>
      </c>
      <c r="B36" s="8" t="s">
        <v>9</v>
      </c>
      <c r="C36" s="2"/>
      <c r="D36" s="2">
        <f>(D35*$C$19)/C4</f>
        <v>0.001760704866962189</v>
      </c>
      <c r="E36" s="2">
        <f>(E35*$C$19)/D4</f>
        <v>0.00273588880109788</v>
      </c>
      <c r="F36" s="2">
        <f>(F35*$C$19)/E4</f>
        <v>0.00806734455214205</v>
      </c>
      <c r="G36" s="2">
        <f>(G35*$C$19)/F4</f>
        <v>0.032691100336058786</v>
      </c>
      <c r="H36" s="2">
        <f>(H35*$C$19)/G4</f>
        <v>0</v>
      </c>
      <c r="J36" s="16" t="s">
        <v>40</v>
      </c>
      <c r="K36" s="2"/>
    </row>
    <row r="37" spans="1:11" ht="12.75">
      <c r="A37" t="s">
        <v>92</v>
      </c>
      <c r="B37" s="8" t="s">
        <v>3</v>
      </c>
      <c r="D37" s="2">
        <f>D6+D36</f>
        <v>0.19492675362320172</v>
      </c>
      <c r="E37" s="2">
        <f>E6+E36</f>
        <v>0.08165292405106436</v>
      </c>
      <c r="F37" s="2">
        <f>F6+F36</f>
        <v>0.06071680107388118</v>
      </c>
      <c r="G37" s="2">
        <f>G6+G36</f>
        <v>0.07785239065863943</v>
      </c>
      <c r="H37" s="2">
        <f>H6+H36</f>
        <v>0</v>
      </c>
      <c r="J37" s="16" t="s">
        <v>36</v>
      </c>
      <c r="K37" s="1"/>
    </row>
    <row r="38" spans="1:11" ht="12.75">
      <c r="A38" t="s">
        <v>93</v>
      </c>
      <c r="B38" s="8" t="s">
        <v>1</v>
      </c>
      <c r="C38" s="2"/>
      <c r="D38" s="2">
        <f>D6-D36</f>
        <v>0.19140534388927732</v>
      </c>
      <c r="E38" s="2">
        <f>E6-E36</f>
        <v>0.07618114644886861</v>
      </c>
      <c r="F38" s="2">
        <f>F6-F36</f>
        <v>0.04458211196959708</v>
      </c>
      <c r="G38" s="2">
        <f>G6-G36</f>
        <v>0.012470189986521857</v>
      </c>
      <c r="H38" s="2">
        <f>H6-H36</f>
        <v>0</v>
      </c>
      <c r="J38" s="16" t="s">
        <v>37</v>
      </c>
      <c r="K38" s="2"/>
    </row>
    <row r="39" spans="2:11" ht="12.75">
      <c r="B39" s="23" t="s">
        <v>6</v>
      </c>
      <c r="C39" s="23"/>
      <c r="D39" s="23"/>
      <c r="E39" s="23" t="str">
        <f>IF((E6&gt;0),IF((D6&lt;E38),"s+",IF((D6&gt;E37),"s-","ns")),"ns")</f>
        <v>s-</v>
      </c>
      <c r="F39" s="23" t="str">
        <f>IF((F6&gt;0),IF((E6&lt;F38),"s+",IF((E6&gt;F37),"s-","ns")),"ns")</f>
        <v>s-</v>
      </c>
      <c r="G39" s="23" t="str">
        <f>IF((G6&gt;0),IF((F6&lt;G38),"s+",IF((F6&gt;G37),"s-","ns")),"ns")</f>
        <v>ns</v>
      </c>
      <c r="H39" s="23" t="str">
        <f>IF((H19&gt;0),IF((G6&lt;H38),"s+",IF((G6&gt;H37),"s-","ns")),"ns")</f>
        <v>ns</v>
      </c>
      <c r="J39" s="2" t="s">
        <v>12</v>
      </c>
      <c r="K39" s="2"/>
    </row>
    <row r="40" spans="2:12" ht="12.75">
      <c r="B40" s="11"/>
      <c r="C40" s="26"/>
      <c r="D40" s="26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1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 t="s">
        <v>85</v>
      </c>
      <c r="C43" s="1"/>
      <c r="D43" s="1"/>
      <c r="E43" s="1"/>
      <c r="F43" s="1"/>
      <c r="I43" s="2"/>
    </row>
    <row r="44" spans="1:9" ht="12.75">
      <c r="A44" s="11"/>
      <c r="B44" t="s">
        <v>86</v>
      </c>
      <c r="C44" s="1"/>
      <c r="D44" s="1"/>
      <c r="E44" s="1"/>
      <c r="F44" s="1"/>
      <c r="I44" s="11"/>
    </row>
    <row r="45" spans="2:6" ht="12.75">
      <c r="B45"/>
      <c r="C45" s="1"/>
      <c r="D45" s="1"/>
      <c r="E45" s="1"/>
      <c r="F45" s="1"/>
    </row>
    <row r="46" spans="2:6" ht="12.75">
      <c r="B46" s="11" t="s">
        <v>87</v>
      </c>
      <c r="D46" s="2"/>
      <c r="E46" s="2"/>
      <c r="F46" s="2"/>
    </row>
    <row r="47" spans="2:6" ht="12.75">
      <c r="B47" s="11" t="s">
        <v>56</v>
      </c>
      <c r="C47" s="2"/>
      <c r="D47" s="1"/>
      <c r="E47" s="1"/>
      <c r="F47" s="1"/>
    </row>
    <row r="48" spans="2:6" ht="12.75">
      <c r="B48" s="11" t="s">
        <v>57</v>
      </c>
      <c r="C48" s="2"/>
      <c r="D48" s="2"/>
      <c r="E48" s="2"/>
      <c r="F48" s="2"/>
    </row>
    <row r="49" spans="2:6" ht="12.75">
      <c r="B49" s="11" t="s">
        <v>58</v>
      </c>
      <c r="C49" s="2"/>
      <c r="D49" s="2"/>
      <c r="E49" s="2"/>
      <c r="F49" s="2"/>
    </row>
    <row r="50" spans="2:6" ht="12.75">
      <c r="B50" s="11" t="s">
        <v>59</v>
      </c>
      <c r="E50" s="2"/>
      <c r="F50" s="2"/>
    </row>
    <row r="51" spans="2:6" ht="12.75">
      <c r="B51" s="11" t="s">
        <v>60</v>
      </c>
      <c r="C51" s="2"/>
      <c r="D51" s="2"/>
      <c r="E51" s="2"/>
      <c r="F51" s="2"/>
    </row>
    <row r="52" ht="12.75">
      <c r="B52" s="11"/>
    </row>
    <row r="53" ht="12.75">
      <c r="B53" s="11" t="s">
        <v>35</v>
      </c>
    </row>
    <row r="54" ht="12.75">
      <c r="B54" s="11" t="s">
        <v>53</v>
      </c>
    </row>
    <row r="55" ht="12.75">
      <c r="B55" s="11"/>
    </row>
    <row r="56" ht="12.75">
      <c r="B56" s="8" t="s">
        <v>55</v>
      </c>
    </row>
    <row r="57" ht="12.75">
      <c r="B57" s="11" t="s">
        <v>88</v>
      </c>
    </row>
    <row r="58" ht="12.75">
      <c r="B58" s="11" t="s">
        <v>89</v>
      </c>
    </row>
    <row r="60" ht="15.75">
      <c r="B60" s="21" t="s">
        <v>52</v>
      </c>
    </row>
    <row r="61" ht="12.75">
      <c r="B61" s="11" t="s">
        <v>54</v>
      </c>
    </row>
    <row r="62" ht="12.75">
      <c r="B62" s="11" t="s">
        <v>90</v>
      </c>
    </row>
    <row r="63" ht="12.75">
      <c r="B63" s="11" t="s">
        <v>91</v>
      </c>
    </row>
    <row r="69" spans="10:11" ht="12.75">
      <c r="J69" s="2"/>
      <c r="K6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96</v>
      </c>
      <c r="B1" s="18"/>
      <c r="C1">
        <f>C2-D2</f>
        <v>155819</v>
      </c>
      <c r="D1">
        <f>D2-E2</f>
        <v>34361</v>
      </c>
      <c r="E1">
        <f>E2-F2</f>
        <v>2789</v>
      </c>
      <c r="F1">
        <f>F2-G2</f>
        <v>148</v>
      </c>
      <c r="G1">
        <f>G2-H2</f>
        <v>7</v>
      </c>
      <c r="H1">
        <v>0</v>
      </c>
    </row>
    <row r="2" spans="3:8" ht="12.75">
      <c r="C2" s="32">
        <v>193124</v>
      </c>
      <c r="D2" s="32">
        <v>37305</v>
      </c>
      <c r="E2" s="32">
        <v>2944</v>
      </c>
      <c r="F2" s="32">
        <v>155</v>
      </c>
      <c r="G2" s="32">
        <v>7</v>
      </c>
      <c r="H2" s="32">
        <v>0</v>
      </c>
    </row>
    <row r="3" spans="3:8" ht="12.75">
      <c r="C3" s="1"/>
      <c r="D3" s="1"/>
      <c r="E3" s="1"/>
      <c r="F3" s="1"/>
      <c r="G3" s="1"/>
      <c r="H3" s="1"/>
    </row>
    <row r="4" spans="1:8" ht="15.75">
      <c r="A4" s="21" t="s">
        <v>95</v>
      </c>
      <c r="C4" s="1"/>
      <c r="D4" s="1"/>
      <c r="E4" s="1"/>
      <c r="F4" s="1"/>
      <c r="G4" s="1"/>
      <c r="H4" s="1"/>
    </row>
    <row r="5" spans="1:8" ht="15.75">
      <c r="A5" s="21" t="s">
        <v>69</v>
      </c>
      <c r="B5" s="21" t="s">
        <v>7</v>
      </c>
      <c r="H5" s="10" t="s">
        <v>30</v>
      </c>
    </row>
    <row r="6" spans="1:8" ht="15">
      <c r="A6" s="22" t="s">
        <v>16</v>
      </c>
      <c r="B6" s="9" t="s">
        <v>8</v>
      </c>
      <c r="C6" s="9">
        <v>0.1</v>
      </c>
      <c r="D6" s="9">
        <f>C6+1</f>
        <v>1.1</v>
      </c>
      <c r="E6" s="9">
        <f>D6+1</f>
        <v>2.1</v>
      </c>
      <c r="F6" s="9">
        <f>E6+1</f>
        <v>3.1</v>
      </c>
      <c r="G6" s="9">
        <f>F6+1</f>
        <v>4.1</v>
      </c>
      <c r="H6" s="9">
        <f>G6+1</f>
        <v>5.1</v>
      </c>
    </row>
    <row r="7" spans="2:8" ht="12.75">
      <c r="B7" s="18" t="s">
        <v>2</v>
      </c>
      <c r="C7" s="19">
        <f>C8-D8</f>
        <v>155643</v>
      </c>
      <c r="D7" s="19">
        <f>D8-E8</f>
        <v>34464</v>
      </c>
      <c r="E7" s="19">
        <f>E8-F8</f>
        <v>2884</v>
      </c>
      <c r="F7" s="19">
        <f>F8-G8</f>
        <v>184</v>
      </c>
      <c r="G7" s="19">
        <f>G8-H8</f>
        <v>15</v>
      </c>
      <c r="H7" s="19">
        <v>0</v>
      </c>
    </row>
    <row r="8" spans="2:21" ht="12.75">
      <c r="B8" s="31" t="s">
        <v>10</v>
      </c>
      <c r="C8" s="32">
        <v>193191</v>
      </c>
      <c r="D8" s="32">
        <v>37548</v>
      </c>
      <c r="E8" s="32">
        <v>3084</v>
      </c>
      <c r="F8" s="35">
        <v>200</v>
      </c>
      <c r="G8" s="35">
        <v>16</v>
      </c>
      <c r="H8" s="35">
        <v>1</v>
      </c>
      <c r="I8" s="20"/>
      <c r="J8" s="10" t="s">
        <v>29</v>
      </c>
      <c r="N8" s="1"/>
      <c r="Q8" s="1"/>
      <c r="R8" s="1"/>
      <c r="S8" s="1"/>
      <c r="T8" s="1"/>
      <c r="U8" s="1"/>
    </row>
    <row r="9" spans="10:21" ht="12.75">
      <c r="J9" s="1"/>
      <c r="K9" s="1"/>
      <c r="L9" s="1"/>
      <c r="M9" s="1"/>
      <c r="N9" s="1"/>
      <c r="Q9" s="1"/>
      <c r="R9" s="1"/>
      <c r="S9" s="1"/>
      <c r="T9" s="1"/>
      <c r="U9" s="1"/>
    </row>
    <row r="10" spans="2:12" ht="12.75">
      <c r="B10" s="8" t="s">
        <v>11</v>
      </c>
      <c r="C10" s="8"/>
      <c r="D10" s="25">
        <f>D8/C8</f>
        <v>0.19435687997888101</v>
      </c>
      <c r="E10" s="25">
        <f>E8/D8</f>
        <v>0.0821348673697667</v>
      </c>
      <c r="F10" s="25">
        <f>F8/E8</f>
        <v>0.0648508430609598</v>
      </c>
      <c r="G10" s="25">
        <f>G8/F8</f>
        <v>0.08</v>
      </c>
      <c r="H10" s="25">
        <f>H8/G8</f>
        <v>0.0625</v>
      </c>
      <c r="J10" s="14" t="s">
        <v>28</v>
      </c>
      <c r="K10" s="1"/>
      <c r="L10" s="1"/>
    </row>
    <row r="11" spans="4:12" ht="12.75">
      <c r="D11" s="2"/>
      <c r="E11" s="2"/>
      <c r="F11" s="2"/>
      <c r="G11" s="2"/>
      <c r="H11" s="2"/>
      <c r="J11" s="1"/>
      <c r="K11" s="1"/>
      <c r="L11" s="1"/>
    </row>
    <row r="12" spans="1:21" s="29" customFormat="1" ht="18">
      <c r="A12" s="29" t="s">
        <v>63</v>
      </c>
      <c r="L12" s="30"/>
      <c r="M12" s="30"/>
      <c r="U12" s="30"/>
    </row>
    <row r="13" spans="12:21" ht="12.75">
      <c r="L13" s="1"/>
      <c r="M13" s="2"/>
      <c r="U13" s="1"/>
    </row>
    <row r="14" spans="1:21" ht="15">
      <c r="A14" s="22" t="s">
        <v>38</v>
      </c>
      <c r="B14" s="8" t="s">
        <v>61</v>
      </c>
      <c r="D14" s="25">
        <f>(D10+$C$23*$C$23/(2*C8))/(1+$C$23*$C$23/C8)</f>
        <v>0.19436295731861095</v>
      </c>
      <c r="E14" s="25">
        <f>(E10+$C$23*$C$23/(2*D8))/(1+$C$23*$C$23/D8)</f>
        <v>0.08217761374680804</v>
      </c>
      <c r="F14" s="25">
        <f>(F10+$C$23*$C$23/(2*E8))/(1+$C$23*$C$23/E8)</f>
        <v>0.06539219235021355</v>
      </c>
      <c r="G14" s="25">
        <f>(G10+$C$23*$C$23/(2*F8))/(1+$C$23*$C$23/F8)</f>
        <v>0.08791500550296014</v>
      </c>
      <c r="H14" s="25">
        <f>(H10+$C$23*$C$23/(2*G8))/(1+$C$23*$C$23/G8)</f>
        <v>0.14720308251390074</v>
      </c>
      <c r="J14" t="s">
        <v>43</v>
      </c>
      <c r="U14" s="2"/>
    </row>
    <row r="15" spans="1:21" ht="12.75">
      <c r="A15" t="s">
        <v>15</v>
      </c>
      <c r="B15" s="8" t="s">
        <v>9</v>
      </c>
      <c r="C15" s="2"/>
      <c r="D15" s="2">
        <f>($C$23*SQRT((D10*(1-D10)/C8+$C$23*$C$23/(4*C8*C8))))/(1+$C$23*$C$23/C8)</f>
        <v>0.0017645067812465214</v>
      </c>
      <c r="E15" s="2">
        <f>($C$23*SQRT((E10*(1-E10)/D8+$C$23*$C$23/(4*D8*D8))))/(1+$C$23*$C$23/D8)</f>
        <v>0.002777386043507132</v>
      </c>
      <c r="F15" s="2">
        <f>($C$23*SQRT((F10*(1-F10)/E8+$C$23*$C$23/(4*E8*E8))))/(1+$C$23*$C$23/E8)</f>
        <v>0.00870281621600252</v>
      </c>
      <c r="G15" s="2">
        <f>($C$23*SQRT((G10*(1-G10)/F8+$C$23*$C$23/(4*F8*F8))))/(1+$C$23*$C$23/F8)</f>
        <v>0.038074371961329394</v>
      </c>
      <c r="H15" s="2">
        <f>($C$23*SQRT((H10*(1-H10)/G8+$C$23*$C$23/(4*G8*G8))))/(1+$C$23*$C$23/G8)</f>
        <v>0.13608370594615588</v>
      </c>
      <c r="J15" s="16" t="s">
        <v>45</v>
      </c>
      <c r="L15" s="2"/>
      <c r="M15" s="2"/>
      <c r="U15" s="2"/>
    </row>
    <row r="16" spans="1:21" ht="12.75">
      <c r="A16" t="s">
        <v>42</v>
      </c>
      <c r="B16" s="8" t="s">
        <v>3</v>
      </c>
      <c r="D16" s="2">
        <f>D14+D15</f>
        <v>0.19612746409985746</v>
      </c>
      <c r="E16" s="2">
        <f>E14+E15</f>
        <v>0.08495499979031518</v>
      </c>
      <c r="F16" s="2">
        <f>F14+F15</f>
        <v>0.07409500856621608</v>
      </c>
      <c r="G16" s="2">
        <f>G14+G15</f>
        <v>0.12598937746428954</v>
      </c>
      <c r="H16" s="2">
        <f>H14+H15</f>
        <v>0.2832867884600566</v>
      </c>
      <c r="U16" s="2"/>
    </row>
    <row r="17" spans="2:21" ht="12.75">
      <c r="B17" s="8" t="s">
        <v>1</v>
      </c>
      <c r="C17" s="2"/>
      <c r="D17" s="2">
        <f>D14-D15</f>
        <v>0.19259845053736444</v>
      </c>
      <c r="E17" s="2">
        <f>E14-E15</f>
        <v>0.07940022770330091</v>
      </c>
      <c r="F17" s="2">
        <f>F14-F15</f>
        <v>0.05668937613421103</v>
      </c>
      <c r="G17" s="2">
        <f>G14-G15</f>
        <v>0.04984063354163074</v>
      </c>
      <c r="H17" s="2">
        <f>H14-H15</f>
        <v>0.011119376567744865</v>
      </c>
      <c r="J17" s="2"/>
      <c r="K17" s="2"/>
      <c r="U17" s="2"/>
    </row>
    <row r="18" spans="2:21" ht="12.75">
      <c r="B18" s="23" t="s">
        <v>6</v>
      </c>
      <c r="C18" s="23"/>
      <c r="D18" s="23"/>
      <c r="E18" s="23" t="str">
        <f>IF((D10&lt;E17),"s+",IF((D10&gt;E16),"s-","ns"))</f>
        <v>s-</v>
      </c>
      <c r="F18" s="23" t="str">
        <f>IF((E10&lt;F17),"s+",IF((E10&gt;F16),"s-","ns"))</f>
        <v>s-</v>
      </c>
      <c r="G18" s="23" t="str">
        <f>IF((F10&lt;G17),"s+",IF((F10&gt;G16),"s-","ns"))</f>
        <v>ns</v>
      </c>
      <c r="H18" s="23" t="str">
        <f>IF((G10&lt;H17),"s+",IF((G10&gt;H16),"s-","ns"))</f>
        <v>ns</v>
      </c>
      <c r="J18" t="s">
        <v>51</v>
      </c>
      <c r="U18" s="2"/>
    </row>
    <row r="19" spans="2:21" ht="12.75">
      <c r="B19" s="13"/>
      <c r="C19" s="13"/>
      <c r="D19" s="13"/>
      <c r="E19" s="13"/>
      <c r="F19" s="13"/>
      <c r="G19" s="13"/>
      <c r="H19" s="13"/>
      <c r="J19" t="s">
        <v>94</v>
      </c>
      <c r="N19" s="2"/>
      <c r="U19" s="2"/>
    </row>
    <row r="20" spans="1:21" ht="12.75">
      <c r="A20" t="s">
        <v>46</v>
      </c>
      <c r="B20" s="13" t="s">
        <v>48</v>
      </c>
      <c r="C20" s="27"/>
      <c r="D20" s="28">
        <f>D15+(D14-D10)</f>
        <v>0.0017705841209764532</v>
      </c>
      <c r="E20" s="28">
        <f>E15+(E14-E10)</f>
        <v>0.002820132420548471</v>
      </c>
      <c r="F20" s="28">
        <f>F15+(F14-F10)</f>
        <v>0.009244165505256276</v>
      </c>
      <c r="G20" s="28">
        <f>G15+(G14-G10)</f>
        <v>0.04598937746428953</v>
      </c>
      <c r="H20" s="28">
        <f>H15+(H14-H10)</f>
        <v>0.22078678846005662</v>
      </c>
      <c r="N20" s="2"/>
      <c r="U20" s="2"/>
    </row>
    <row r="21" spans="2:21" ht="12.75">
      <c r="B21" s="13" t="s">
        <v>49</v>
      </c>
      <c r="C21" s="27"/>
      <c r="D21" s="28">
        <f>D15-(D14-D10)</f>
        <v>0.0017584294415165895</v>
      </c>
      <c r="E21" s="28">
        <f>E15-(E14-E10)</f>
        <v>0.0027346396664657932</v>
      </c>
      <c r="F21" s="28">
        <f>F15-(F14-F10)</f>
        <v>0.008161466926748764</v>
      </c>
      <c r="G21" s="28">
        <f>G15-(G14-G10)</f>
        <v>0.03015936645836926</v>
      </c>
      <c r="H21" s="28">
        <f>H15-(H14-H10)</f>
        <v>0.051380623432255135</v>
      </c>
      <c r="L21" s="2"/>
      <c r="U21" s="2"/>
    </row>
    <row r="22" spans="12:21" ht="12.75">
      <c r="L22" s="2"/>
      <c r="U22" s="1"/>
    </row>
    <row r="23" spans="1:11" ht="12.75">
      <c r="A23" s="8">
        <v>0.05</v>
      </c>
      <c r="B23" s="8" t="s">
        <v>39</v>
      </c>
      <c r="C23" s="8">
        <v>1.95996</v>
      </c>
      <c r="D23" s="3"/>
      <c r="E23" s="3"/>
      <c r="F23" s="3"/>
      <c r="G23" s="3"/>
      <c r="H23" s="3"/>
      <c r="J23" s="15"/>
      <c r="K23" s="2"/>
    </row>
    <row r="24" spans="1:11" ht="12.75">
      <c r="A24" s="8"/>
      <c r="C24" s="8"/>
      <c r="D24" s="3"/>
      <c r="E24" s="3"/>
      <c r="F24" s="3"/>
      <c r="G24" s="3"/>
      <c r="H24" s="3"/>
      <c r="J24" s="15"/>
      <c r="K24" s="2"/>
    </row>
    <row r="25" spans="1:11" ht="12.75">
      <c r="A25" s="8"/>
      <c r="C25" s="8"/>
      <c r="D25" s="3"/>
      <c r="E25" s="3"/>
      <c r="F25" s="3"/>
      <c r="G25" s="3"/>
      <c r="H25" s="3"/>
      <c r="J25" s="15"/>
      <c r="K25" s="2"/>
    </row>
    <row r="26" spans="3:11" ht="12.75">
      <c r="C26" s="2"/>
      <c r="D26" s="1"/>
      <c r="E26" s="1"/>
      <c r="F26" s="1"/>
      <c r="G26" s="1"/>
      <c r="H26" s="1"/>
      <c r="J26" s="2"/>
      <c r="K26" s="2"/>
    </row>
    <row r="27" spans="1:11" ht="15.75">
      <c r="A27" s="21" t="s">
        <v>70</v>
      </c>
      <c r="B27" s="21" t="s">
        <v>7</v>
      </c>
      <c r="H27" s="10"/>
      <c r="K27" s="2"/>
    </row>
    <row r="28" spans="1:11" ht="15">
      <c r="A28" s="22" t="s">
        <v>16</v>
      </c>
      <c r="B28" s="9" t="s">
        <v>8</v>
      </c>
      <c r="C28" s="9">
        <v>-0.1</v>
      </c>
      <c r="D28" s="9">
        <f aca="true" t="shared" si="0" ref="D28:I28">C28+1</f>
        <v>0.9</v>
      </c>
      <c r="E28" s="9">
        <f t="shared" si="0"/>
        <v>1.9</v>
      </c>
      <c r="F28" s="9">
        <f t="shared" si="0"/>
        <v>2.9</v>
      </c>
      <c r="G28" s="9">
        <f t="shared" si="0"/>
        <v>3.9</v>
      </c>
      <c r="H28" s="9">
        <f t="shared" si="0"/>
        <v>4.9</v>
      </c>
      <c r="I28" s="9">
        <f t="shared" si="0"/>
        <v>5.9</v>
      </c>
      <c r="K28" s="2"/>
    </row>
    <row r="29" spans="2:21" ht="12.75">
      <c r="B29" s="18" t="s">
        <v>2</v>
      </c>
      <c r="C29" s="19">
        <f>C30-D30</f>
        <v>20300965</v>
      </c>
      <c r="D29" s="19">
        <f>D30-E30</f>
        <v>4356460</v>
      </c>
      <c r="E29" s="19">
        <f>E30-F30</f>
        <v>360857</v>
      </c>
      <c r="F29" s="19">
        <f>F30-G30</f>
        <v>17545</v>
      </c>
      <c r="G29" s="19">
        <f>G30-H30</f>
        <v>804</v>
      </c>
      <c r="H29" s="19">
        <v>0</v>
      </c>
      <c r="I29" s="19">
        <v>0</v>
      </c>
      <c r="N29" s="2"/>
      <c r="U29" s="2"/>
    </row>
    <row r="30" spans="2:21" ht="12.75">
      <c r="B30" s="31" t="s">
        <v>10</v>
      </c>
      <c r="C30" s="32">
        <v>25036706</v>
      </c>
      <c r="D30" s="32">
        <v>4735741</v>
      </c>
      <c r="E30" s="32">
        <v>379281</v>
      </c>
      <c r="F30" s="32">
        <v>18424</v>
      </c>
      <c r="G30" s="35">
        <v>879</v>
      </c>
      <c r="H30" s="35">
        <v>75</v>
      </c>
      <c r="I30" s="35">
        <v>8</v>
      </c>
      <c r="J30" s="10" t="s">
        <v>29</v>
      </c>
      <c r="U30" s="1"/>
    </row>
    <row r="31" spans="1:21" ht="12.75">
      <c r="A31" s="17"/>
      <c r="B31" s="18"/>
      <c r="C31" s="19"/>
      <c r="D31" s="19"/>
      <c r="E31" s="19"/>
      <c r="F31" s="17"/>
      <c r="G31" s="17"/>
      <c r="H31" s="17"/>
      <c r="I31" s="17"/>
      <c r="J31" s="1"/>
      <c r="U31" s="2"/>
    </row>
    <row r="32" spans="2:21" ht="12.75">
      <c r="B32" s="8" t="s">
        <v>11</v>
      </c>
      <c r="C32" s="8"/>
      <c r="D32" s="25">
        <f aca="true" t="shared" si="1" ref="D32:I32">D30/C30</f>
        <v>0.18915191958558766</v>
      </c>
      <c r="E32" s="25">
        <f t="shared" si="1"/>
        <v>0.08008905047805613</v>
      </c>
      <c r="F32" s="25">
        <f t="shared" si="1"/>
        <v>0.048576121661775835</v>
      </c>
      <c r="G32" s="25">
        <f t="shared" si="1"/>
        <v>0.04770950933564915</v>
      </c>
      <c r="H32" s="25">
        <f t="shared" si="1"/>
        <v>0.08532423208191127</v>
      </c>
      <c r="I32" s="25">
        <f t="shared" si="1"/>
        <v>0.10666666666666667</v>
      </c>
      <c r="J32" s="14" t="s">
        <v>28</v>
      </c>
      <c r="U32" s="2"/>
    </row>
    <row r="33" spans="4:10" ht="12.75">
      <c r="D33" s="2"/>
      <c r="E33" s="2"/>
      <c r="F33" s="2"/>
      <c r="G33" s="2"/>
      <c r="H33" s="2"/>
      <c r="I33" s="2"/>
      <c r="J33" s="1"/>
    </row>
    <row r="34" spans="1:12" ht="18">
      <c r="A34" s="29" t="s">
        <v>63</v>
      </c>
      <c r="B34" s="29"/>
      <c r="C34" s="29"/>
      <c r="D34" s="29"/>
      <c r="E34" s="29"/>
      <c r="F34" s="29"/>
      <c r="G34" s="29"/>
      <c r="H34" s="29"/>
      <c r="I34" s="29"/>
      <c r="J34" s="29"/>
      <c r="L34" s="2"/>
    </row>
    <row r="35" spans="12:13" ht="12.75">
      <c r="L35" s="2"/>
      <c r="M35" s="2"/>
    </row>
    <row r="36" spans="1:13" ht="15">
      <c r="A36" s="22" t="s">
        <v>38</v>
      </c>
      <c r="B36" s="8" t="s">
        <v>61</v>
      </c>
      <c r="D36" s="25">
        <f aca="true" t="shared" si="2" ref="D36:I36">(D32+$C$23*$C$23/(2*C30))/(1+$C$23*$C$23/C30)</f>
        <v>0.18915196727976366</v>
      </c>
      <c r="E36" s="25">
        <f t="shared" si="2"/>
        <v>0.08008939109270416</v>
      </c>
      <c r="F36" s="25">
        <f t="shared" si="2"/>
        <v>0.048580693737954476</v>
      </c>
      <c r="G36" s="25">
        <f t="shared" si="2"/>
        <v>0.047803793206924364</v>
      </c>
      <c r="H36" s="25">
        <f t="shared" si="2"/>
        <v>0.0871285803279116</v>
      </c>
      <c r="I36" s="25">
        <f t="shared" si="2"/>
        <v>0.12583130391756542</v>
      </c>
      <c r="J36" t="s">
        <v>43</v>
      </c>
      <c r="K36" s="2"/>
      <c r="M36" s="2"/>
    </row>
    <row r="37" spans="1:11" ht="12.75">
      <c r="A37" t="s">
        <v>15</v>
      </c>
      <c r="B37" s="8" t="s">
        <v>9</v>
      </c>
      <c r="C37" s="2"/>
      <c r="D37" s="2">
        <f aca="true" t="shared" si="3" ref="D37:I37">($C$23*SQRT((D32*(1-D32)/C30+$C$23*$C$23/(4*C30*C30))))/(1+$C$23*$C$23/C30)</f>
        <v>0.0001534029544624279</v>
      </c>
      <c r="E37" s="2">
        <f t="shared" si="3"/>
        <v>0.0002444628940048667</v>
      </c>
      <c r="F37" s="2">
        <f t="shared" si="3"/>
        <v>0.0006841835128994524</v>
      </c>
      <c r="G37" s="2">
        <f t="shared" si="3"/>
        <v>0.0030789376358501875</v>
      </c>
      <c r="H37" s="2">
        <f t="shared" si="3"/>
        <v>0.018516015680699417</v>
      </c>
      <c r="I37" s="2">
        <f t="shared" si="3"/>
        <v>0.07078210349986448</v>
      </c>
      <c r="J37" s="16" t="s">
        <v>45</v>
      </c>
      <c r="K37" s="2"/>
    </row>
    <row r="38" spans="1:9" ht="12.75">
      <c r="A38" t="s">
        <v>42</v>
      </c>
      <c r="B38" s="8" t="s">
        <v>3</v>
      </c>
      <c r="D38" s="2">
        <f aca="true" t="shared" si="4" ref="D38:I38">D36+D37</f>
        <v>0.18930537023422608</v>
      </c>
      <c r="E38" s="2">
        <f t="shared" si="4"/>
        <v>0.08033385398670903</v>
      </c>
      <c r="F38" s="2">
        <f t="shared" si="4"/>
        <v>0.049264877250853926</v>
      </c>
      <c r="G38" s="2">
        <f t="shared" si="4"/>
        <v>0.05088273084277455</v>
      </c>
      <c r="H38" s="2">
        <f t="shared" si="4"/>
        <v>0.10564459600861101</v>
      </c>
      <c r="I38" s="2">
        <f t="shared" si="4"/>
        <v>0.1966134074174299</v>
      </c>
    </row>
    <row r="39" spans="2:10" ht="12.75">
      <c r="B39" s="8" t="s">
        <v>1</v>
      </c>
      <c r="C39" s="2"/>
      <c r="D39" s="2">
        <f aca="true" t="shared" si="5" ref="D39:I39">D36-D37</f>
        <v>0.18899856432530124</v>
      </c>
      <c r="E39" s="2">
        <f t="shared" si="5"/>
        <v>0.07984492819869929</v>
      </c>
      <c r="F39" s="2">
        <f t="shared" si="5"/>
        <v>0.047896510225055026</v>
      </c>
      <c r="G39" s="2">
        <f t="shared" si="5"/>
        <v>0.044724855571074175</v>
      </c>
      <c r="H39" s="2">
        <f t="shared" si="5"/>
        <v>0.06861256464721219</v>
      </c>
      <c r="I39" s="2">
        <f t="shared" si="5"/>
        <v>0.055049200417700936</v>
      </c>
      <c r="J39" s="2"/>
    </row>
    <row r="40" spans="2:10" ht="12.75">
      <c r="B40" s="23" t="s">
        <v>6</v>
      </c>
      <c r="C40" s="23"/>
      <c r="D40" s="23"/>
      <c r="E40" s="23" t="str">
        <f>IF((D32&lt;E39),"s+",IF((D32&gt;E38),"s-","ns"))</f>
        <v>s-</v>
      </c>
      <c r="F40" s="23" t="str">
        <f>IF((E32&lt;F39),"s+",IF((E32&gt;F38),"s-","ns"))</f>
        <v>s-</v>
      </c>
      <c r="G40" s="23" t="str">
        <f>IF((F32&lt;G39),"s+",IF((F32&gt;G38),"s-","ns"))</f>
        <v>ns</v>
      </c>
      <c r="H40" s="23" t="str">
        <f>IF((G32&lt;H39),"s+",IF((G32&gt;H38),"s-","ns"))</f>
        <v>s+</v>
      </c>
      <c r="I40" s="23" t="str">
        <f>IF((H32&lt;I39),"s+",IF((H32&gt;I38),"s-","ns"))</f>
        <v>ns</v>
      </c>
      <c r="J40" t="s">
        <v>51</v>
      </c>
    </row>
    <row r="41" spans="2:10" ht="12.75">
      <c r="B41" s="13"/>
      <c r="C41" s="13"/>
      <c r="D41" s="13"/>
      <c r="E41" s="13"/>
      <c r="F41" s="13"/>
      <c r="G41" s="13"/>
      <c r="H41" s="13"/>
      <c r="I41" s="13"/>
      <c r="J41" t="s">
        <v>94</v>
      </c>
    </row>
    <row r="42" spans="1:11" ht="12.75">
      <c r="A42" t="s">
        <v>46</v>
      </c>
      <c r="B42" s="13" t="s">
        <v>48</v>
      </c>
      <c r="C42" s="27"/>
      <c r="D42" s="28">
        <f aca="true" t="shared" si="6" ref="D42:I42">D37+(D36-D32)</f>
        <v>0.00015345064863842538</v>
      </c>
      <c r="E42" s="28">
        <f t="shared" si="6"/>
        <v>0.00024480350865289507</v>
      </c>
      <c r="F42" s="28">
        <f t="shared" si="6"/>
        <v>0.0006887555890780935</v>
      </c>
      <c r="G42" s="28">
        <f t="shared" si="6"/>
        <v>0.0031732215071253998</v>
      </c>
      <c r="H42" s="28">
        <f t="shared" si="6"/>
        <v>0.020320363926699746</v>
      </c>
      <c r="I42" s="28">
        <f t="shared" si="6"/>
        <v>0.08994674075076323</v>
      </c>
      <c r="K42" s="2"/>
    </row>
    <row r="43" spans="2:11" ht="12.75">
      <c r="B43" s="13" t="s">
        <v>49</v>
      </c>
      <c r="C43" s="27"/>
      <c r="D43" s="28">
        <f aca="true" t="shared" si="7" ref="D43:I43">D37-(D36-D32)</f>
        <v>0.00015335526028643041</v>
      </c>
      <c r="E43" s="28">
        <f t="shared" si="7"/>
        <v>0.00024412227935683833</v>
      </c>
      <c r="F43" s="28">
        <f t="shared" si="7"/>
        <v>0.0006796114367208113</v>
      </c>
      <c r="G43" s="28">
        <f t="shared" si="7"/>
        <v>0.0029846537645749753</v>
      </c>
      <c r="H43" s="28">
        <f t="shared" si="7"/>
        <v>0.01671166743469909</v>
      </c>
      <c r="I43" s="28">
        <f t="shared" si="7"/>
        <v>0.05161746624896574</v>
      </c>
      <c r="K43" s="1"/>
    </row>
    <row r="44" spans="3:11" ht="12.75">
      <c r="C44" s="2"/>
      <c r="D44" s="2"/>
      <c r="E44" s="2"/>
      <c r="F44" s="2"/>
      <c r="G44" s="2"/>
      <c r="H44" s="2"/>
      <c r="I44" s="2"/>
      <c r="J44" s="16"/>
      <c r="K44" s="2"/>
    </row>
    <row r="45" spans="2:11" ht="12.75">
      <c r="B45" s="23"/>
      <c r="C45" s="23"/>
      <c r="D45" s="23"/>
      <c r="E45" s="23"/>
      <c r="F45" s="23"/>
      <c r="G45" s="23"/>
      <c r="H45" s="23"/>
      <c r="I45" s="23"/>
      <c r="J45" s="2"/>
      <c r="K45" s="2"/>
    </row>
    <row r="46" spans="2:12" ht="12.75">
      <c r="B46" s="11"/>
      <c r="C46" s="26"/>
      <c r="D46" s="26"/>
      <c r="E46" s="11"/>
      <c r="F46" s="11"/>
      <c r="G46" s="11"/>
      <c r="H46" s="11"/>
      <c r="I46" s="11"/>
      <c r="J46" s="2"/>
      <c r="K46" s="2"/>
      <c r="L46" s="2"/>
    </row>
    <row r="47" spans="1:3" ht="18">
      <c r="A47" s="29" t="s">
        <v>62</v>
      </c>
      <c r="B47" s="21"/>
      <c r="C47" s="11"/>
    </row>
    <row r="48" spans="2:9" ht="12.75">
      <c r="B48"/>
      <c r="C48" s="1" t="s">
        <v>64</v>
      </c>
      <c r="D48" s="33">
        <f>-SQRT(D20^2+D43^2)</f>
        <v>-0.0017772129769139877</v>
      </c>
      <c r="E48" s="33">
        <f>-SQRT(E20^2+E43^2)</f>
        <v>-0.0028306788155329377</v>
      </c>
      <c r="F48" s="33">
        <f>-SQRT(F20^2+F43^2)</f>
        <v>-0.009269113635806379</v>
      </c>
      <c r="G48" s="33">
        <f>-SQRT(G20^2+G43^2)</f>
        <v>-0.04608612586936868</v>
      </c>
      <c r="H48" s="33">
        <f>-SQRT(H20^2+H43^2)</f>
        <v>-0.22141835015859407</v>
      </c>
      <c r="I48" s="33"/>
    </row>
    <row r="49" spans="1:9" ht="12.75">
      <c r="A49" s="11" t="s">
        <v>67</v>
      </c>
      <c r="B49"/>
      <c r="C49" s="1" t="s">
        <v>65</v>
      </c>
      <c r="D49" s="33">
        <f>SQRT(D21^2+D42^2)</f>
        <v>0.0017651122350603936</v>
      </c>
      <c r="E49" s="33">
        <f>SQRT(E21^2+E42^2)</f>
        <v>0.002745575142526045</v>
      </c>
      <c r="F49" s="33">
        <f>SQRT(F21^2+F42^2)</f>
        <v>0.008190477804005102</v>
      </c>
      <c r="G49" s="33">
        <f>SQRT(G21^2+G42^2)</f>
        <v>0.030325842443425902</v>
      </c>
      <c r="H49" s="33">
        <f>SQRT(H21^2+H42^2)</f>
        <v>0.055252924396820176</v>
      </c>
      <c r="I49" s="33"/>
    </row>
    <row r="50" spans="1:9" ht="12.75">
      <c r="A50" s="11" t="s">
        <v>68</v>
      </c>
      <c r="B50" s="11"/>
      <c r="C50" t="s">
        <v>66</v>
      </c>
      <c r="D50" s="33">
        <f>D10-D32</f>
        <v>0.005204960393293351</v>
      </c>
      <c r="E50" s="33">
        <f>E10-E32</f>
        <v>0.0020458168917105723</v>
      </c>
      <c r="F50" s="33">
        <f>F10-F32</f>
        <v>0.016274721399183963</v>
      </c>
      <c r="G50" s="33">
        <f>G10-G32</f>
        <v>0.03229049066435085</v>
      </c>
      <c r="H50" s="33">
        <f>H10-H32</f>
        <v>-0.02282423208191127</v>
      </c>
      <c r="I50" s="33"/>
    </row>
    <row r="51" spans="2:9" ht="12.75">
      <c r="B51" s="11"/>
      <c r="C51" s="2"/>
      <c r="D51" s="1" t="str">
        <f>IF(D50&lt;D48,"s- (BNC &gt; ICE)",IF(D50&gt;D49,"s+ (BNC &lt; ICE)","ns"))</f>
        <v>s+ (BNC &lt; ICE)</v>
      </c>
      <c r="E51" s="1" t="str">
        <f>IF(E50&lt;E48,"s- (BNC &gt; ICE)",IF(E50&gt;E49,"s+ (BNC &lt; ICE)","ns"))</f>
        <v>ns</v>
      </c>
      <c r="F51" s="1" t="str">
        <f>IF(F50&lt;F48,"s- (BNC &gt; ICE)",IF(F50&gt;F49,"s+ (BNC &lt; ICE)","ns"))</f>
        <v>s+ (BNC &lt; ICE)</v>
      </c>
      <c r="G51" s="1" t="str">
        <f>IF(G50&lt;G48,"s- (BNC &gt; ICE)",IF(G50&gt;G49,"s+ (BNC &lt; ICE)","ns"))</f>
        <v>s+ (BNC &lt; ICE)</v>
      </c>
      <c r="H51" s="1" t="str">
        <f>IF(H50&lt;H48,"s- (BNC &gt; ICE)",IF(H50&gt;H49,"s+ (BNC &lt; ICE)","ns"))</f>
        <v>ns</v>
      </c>
      <c r="I51" s="1"/>
    </row>
    <row r="52" spans="2:6" ht="12.75">
      <c r="B52" s="11"/>
      <c r="C52" s="2"/>
      <c r="D52" s="2"/>
      <c r="E52" s="2"/>
      <c r="F52" s="2"/>
    </row>
    <row r="53" spans="2:6" ht="12.75">
      <c r="B53" s="11"/>
      <c r="C53" s="2"/>
      <c r="D53" s="2"/>
      <c r="E53" s="2"/>
      <c r="F53" s="2"/>
    </row>
    <row r="54" spans="1:6" ht="12.75">
      <c r="A54" t="s">
        <v>71</v>
      </c>
      <c r="B54" s="11"/>
      <c r="E54" s="2"/>
      <c r="F54" s="2"/>
    </row>
    <row r="55" spans="1:9" ht="12.75">
      <c r="A55" t="s">
        <v>72</v>
      </c>
      <c r="B55" s="11"/>
      <c r="C55" s="2" t="s">
        <v>74</v>
      </c>
      <c r="E55" s="2">
        <f>E10-D10</f>
        <v>-0.11222201260911431</v>
      </c>
      <c r="F55" s="2">
        <f>F10-E10</f>
        <v>-0.017284024308806906</v>
      </c>
      <c r="G55" s="2">
        <f>G10-F10</f>
        <v>0.015149156939040204</v>
      </c>
      <c r="H55" s="2">
        <f>H10-G10</f>
        <v>-0.0175</v>
      </c>
      <c r="I55" s="2"/>
    </row>
    <row r="56" spans="2:9" ht="12.75">
      <c r="B56" s="11"/>
      <c r="C56" t="s">
        <v>75</v>
      </c>
      <c r="E56" s="2">
        <f>'analysis of trend'!E6-'analysis of trend'!D6</f>
        <v>-0.11424901350627303</v>
      </c>
      <c r="F56" s="2">
        <f>'analysis of trend'!F6-'analysis of trend'!E6</f>
        <v>-0.02626757872822736</v>
      </c>
      <c r="G56" s="2">
        <f>'analysis of trend'!G6-'analysis of trend'!F6</f>
        <v>-0.007488166199158486</v>
      </c>
      <c r="H56" s="2">
        <f>'analysis of trend'!H6-'analysis of trend'!G6</f>
        <v>-0.04516129032258064</v>
      </c>
      <c r="I56" s="2"/>
    </row>
    <row r="57" spans="1:9" ht="12.75">
      <c r="A57" s="11" t="s">
        <v>76</v>
      </c>
      <c r="B57" s="11"/>
      <c r="C57" t="s">
        <v>73</v>
      </c>
      <c r="E57" s="25">
        <f>E55-E56</f>
        <v>0.0020270008971587233</v>
      </c>
      <c r="F57" s="25">
        <f>F55-F56</f>
        <v>0.008983554419420454</v>
      </c>
      <c r="G57" s="25">
        <f>G55-G56</f>
        <v>0.02263732313819869</v>
      </c>
      <c r="H57" s="25">
        <f>H55-H56</f>
        <v>0.02766129032258064</v>
      </c>
      <c r="I57" s="2"/>
    </row>
    <row r="58" spans="1:9" ht="12.75">
      <c r="A58" s="11" t="s">
        <v>77</v>
      </c>
      <c r="B58" s="11"/>
      <c r="C58" s="11" t="s">
        <v>1</v>
      </c>
      <c r="E58" s="2">
        <f>-SQRT(E20^2+'analysis of trend'!E17^2)</f>
        <v>-0.003899226928696677</v>
      </c>
      <c r="F58" s="2">
        <f>-SQRT(F20^2+'analysis of trend'!F17^2)</f>
        <v>-0.011904084916308353</v>
      </c>
      <c r="G58" s="2">
        <f>-SQRT(G20^2+'analysis of trend'!G17^2)</f>
        <v>-0.051471831578506995</v>
      </c>
      <c r="H58" s="2">
        <f>-SQRT(H20^2+'analysis of trend'!H17^2)</f>
        <v>-0.22078678846005662</v>
      </c>
      <c r="I58" s="2"/>
    </row>
    <row r="59" spans="2:9" ht="12.75">
      <c r="B59" s="11"/>
      <c r="C59" s="11" t="s">
        <v>3</v>
      </c>
      <c r="E59" s="2">
        <f>SQRT(E21^2+'analysis of trend'!E16^2)</f>
        <v>0.0038991772244431717</v>
      </c>
      <c r="F59" s="2">
        <f>SQRT(F21^2+'analysis of trend'!F16^2)</f>
        <v>0.011904232082400773</v>
      </c>
      <c r="G59" s="2">
        <f>SQRT(G21^2+'analysis of trend'!G16^2)</f>
        <v>0.05426762275273991</v>
      </c>
      <c r="H59" s="2">
        <f>SQRT(H21^2+'analysis of trend'!H16^2)</f>
        <v>0.35803542629078644</v>
      </c>
      <c r="I59" s="2"/>
    </row>
    <row r="60" spans="5:8" ht="12.75">
      <c r="E60" t="str">
        <f>IF(E57&gt;E59,"s+",IF(E57&lt;E58,"s-","ns"))</f>
        <v>ns</v>
      </c>
      <c r="F60" t="str">
        <f>IF(F57&gt;F59,"s+",IF(F57&lt;F58,"s-","ns"))</f>
        <v>ns</v>
      </c>
      <c r="G60" t="str">
        <f>IF(G57&gt;G59,"s+",IF(G57&lt;G58,"s-","ns"))</f>
        <v>ns</v>
      </c>
      <c r="H60" t="str">
        <f>IF(H57&gt;H59,"s+",IF(H57&lt;H58,"s-","ns"))</f>
        <v>ns</v>
      </c>
    </row>
    <row r="61" ht="12.75">
      <c r="B61" s="11"/>
    </row>
    <row r="62" ht="12.75">
      <c r="B62" s="11"/>
    </row>
    <row r="63" ht="18">
      <c r="A63" s="29" t="s">
        <v>78</v>
      </c>
    </row>
    <row r="64" spans="1:2" ht="15.75">
      <c r="A64" s="11" t="s">
        <v>79</v>
      </c>
      <c r="B64" s="21"/>
    </row>
    <row r="65" spans="1:2" ht="12.75">
      <c r="A65" s="8" t="s">
        <v>80</v>
      </c>
      <c r="B65" s="11"/>
    </row>
    <row r="66" ht="12.75">
      <c r="A66" s="11" t="s">
        <v>81</v>
      </c>
    </row>
    <row r="68" spans="1:2" ht="12.75">
      <c r="A68" t="s">
        <v>82</v>
      </c>
      <c r="B68" s="11"/>
    </row>
    <row r="69" ht="12.75">
      <c r="A69" t="s">
        <v>83</v>
      </c>
    </row>
    <row r="70" ht="12.75">
      <c r="A70" t="s">
        <v>84</v>
      </c>
    </row>
    <row r="75" spans="10:11" ht="12.75">
      <c r="J75" s="2"/>
      <c r="K75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2019-08-03T21:17:45Z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