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3500" windowHeight="16160" tabRatio="449" activeTab="0"/>
  </bookViews>
  <sheets>
    <sheet name="LP Phenotype" sheetId="1" r:id="rId1"/>
  </sheets>
  <definedNames/>
  <calcPr fullCalcOnLoad="1"/>
</workbook>
</file>

<file path=xl/sharedStrings.xml><?xml version="1.0" encoding="utf-8"?>
<sst xmlns="http://schemas.openxmlformats.org/spreadsheetml/2006/main" count="1191" uniqueCount="361">
  <si>
    <t>CONTINENT</t>
  </si>
  <si>
    <t>COUNTRY</t>
  </si>
  <si>
    <t xml:space="preserve">POPULATION </t>
  </si>
  <si>
    <t>LONGITUDE</t>
  </si>
  <si>
    <t>LATITUDE</t>
  </si>
  <si>
    <t>N</t>
  </si>
  <si>
    <t>FREQUENCY OF DIGESTORS</t>
  </si>
  <si>
    <t>TESTING METHOD (BG / BH / UG / BIOPSY)</t>
  </si>
  <si>
    <t>REFERENCE</t>
  </si>
  <si>
    <t>AFRICA</t>
  </si>
  <si>
    <t>BOTSWANA</t>
  </si>
  <si>
    <t>Shua</t>
  </si>
  <si>
    <t>BG</t>
  </si>
  <si>
    <t>Nurse, G. T., &amp; Jenkins, T. (1974) Br. Med. J. 2, 728.</t>
  </si>
  <si>
    <t>EGYPT</t>
  </si>
  <si>
    <t>Cairo and Giza</t>
  </si>
  <si>
    <t>BH</t>
  </si>
  <si>
    <r>
      <t xml:space="preserve">Hussein, L.,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(1982) Hum.Hered. 32, 94.</t>
    </r>
  </si>
  <si>
    <t>Nile Delta</t>
  </si>
  <si>
    <t>Suez Canal Zone</t>
  </si>
  <si>
    <t>Upper Egypt, North</t>
  </si>
  <si>
    <t>Upper Egypt, South</t>
  </si>
  <si>
    <t>ETHIOPIA</t>
  </si>
  <si>
    <t>Somali</t>
  </si>
  <si>
    <r>
      <t xml:space="preserve">Ingram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(2009, submitted) J Mol Evol.</t>
    </r>
  </si>
  <si>
    <t xml:space="preserve"> </t>
  </si>
  <si>
    <t>GABON</t>
  </si>
  <si>
    <t>Bantu</t>
  </si>
  <si>
    <r>
      <t xml:space="preserve">Gendrel, D.,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(1989) J.Pediatr.Gastroenterol.Nutr. 8, 545.</t>
    </r>
  </si>
  <si>
    <t>KENYA</t>
  </si>
  <si>
    <t>Borana</t>
  </si>
  <si>
    <r>
      <t xml:space="preserve">Tishkoff, S. A.,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(2007) Nat Genet 39, 31.</t>
    </r>
  </si>
  <si>
    <t>Burji</t>
  </si>
  <si>
    <t>El Molo</t>
  </si>
  <si>
    <t>Gabra</t>
  </si>
  <si>
    <t>Kikuyu</t>
  </si>
  <si>
    <t>Konso</t>
  </si>
  <si>
    <t>Maasai</t>
  </si>
  <si>
    <t>Marakwet</t>
  </si>
  <si>
    <t>Nandi</t>
  </si>
  <si>
    <t>Ogiek</t>
  </si>
  <si>
    <t>Pokot</t>
  </si>
  <si>
    <t>Rendille</t>
  </si>
  <si>
    <t>Sabaot</t>
  </si>
  <si>
    <t>Samburu</t>
  </si>
  <si>
    <t>Sengwer</t>
  </si>
  <si>
    <t>Tugen</t>
  </si>
  <si>
    <t>Turkana</t>
  </si>
  <si>
    <t>Wata</t>
  </si>
  <si>
    <t>Yaaku</t>
  </si>
  <si>
    <t>NAMIBIA</t>
  </si>
  <si>
    <t>!Kung</t>
  </si>
  <si>
    <r>
      <t xml:space="preserve">Jenkins, T.,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(1974) Br.Med.J. 2, 23.</t>
    </r>
  </si>
  <si>
    <t>Herero</t>
  </si>
  <si>
    <r>
      <t xml:space="preserve">Currie B, </t>
    </r>
    <r>
      <rPr>
        <i/>
        <sz val="10"/>
        <rFont val="Times New Roman"/>
        <family val="1"/>
      </rPr>
      <t xml:space="preserve">et al. </t>
    </r>
    <r>
      <rPr>
        <sz val="10"/>
        <rFont val="Times New Roman"/>
        <family val="0"/>
      </rPr>
      <t>(1978). S. Afr. J. Sci. 74:227.</t>
    </r>
  </si>
  <si>
    <t>NIGER</t>
  </si>
  <si>
    <t>Tuareg</t>
  </si>
  <si>
    <r>
      <t xml:space="preserve">Flatz, G.,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(1986) Am.J.Hum.Genet 38, 515.</t>
    </r>
  </si>
  <si>
    <t>NIGERIA</t>
  </si>
  <si>
    <t>Hausa/Fulani</t>
  </si>
  <si>
    <r>
      <t xml:space="preserve">Olatunbosun, D. A.,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(1971) Am.J.Dig.Dis. 16, 909.</t>
    </r>
  </si>
  <si>
    <t>Ibo</t>
  </si>
  <si>
    <t>Yoruba</t>
  </si>
  <si>
    <t>RWANDA</t>
  </si>
  <si>
    <t>Hutu-Hutu</t>
  </si>
  <si>
    <t>UG</t>
  </si>
  <si>
    <r>
      <t xml:space="preserve">Cox, J. A.,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(1974) Am.J.Dig.Dis. 19, 714.</t>
    </r>
  </si>
  <si>
    <t>Hutu-Tutsi</t>
  </si>
  <si>
    <t>Shi</t>
  </si>
  <si>
    <t>Tussi-Tutsi</t>
  </si>
  <si>
    <t>SENEGAL</t>
  </si>
  <si>
    <t>Diolas</t>
  </si>
  <si>
    <r>
      <t xml:space="preserve">Arnold, J.,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(1980) C R.Seances Soc.Biol Fil. 174, 983.</t>
    </r>
  </si>
  <si>
    <t>Peuhls</t>
  </si>
  <si>
    <t>Sereres</t>
  </si>
  <si>
    <t>Toucouleurs</t>
  </si>
  <si>
    <t>Wolof</t>
  </si>
  <si>
    <t>SOUTH AFRICA</t>
  </si>
  <si>
    <t>Shangaan</t>
  </si>
  <si>
    <r>
      <t xml:space="preserve">Segal, I.,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(1983) Am.J.Clin.Nutr. 38, 901.</t>
    </r>
  </si>
  <si>
    <t>Sotho</t>
  </si>
  <si>
    <t>Swazi</t>
  </si>
  <si>
    <t>Tswana</t>
  </si>
  <si>
    <t>Xhosa</t>
  </si>
  <si>
    <t>Zulu</t>
  </si>
  <si>
    <t>O'Keefe, S. J.&amp; Adam, J. (1983) S.Afr.Med.J. 63, 778.</t>
  </si>
  <si>
    <t>SUDAN</t>
  </si>
  <si>
    <t>Ama</t>
  </si>
  <si>
    <t>Amarar</t>
  </si>
  <si>
    <r>
      <t xml:space="preserve">Bayoumi, R. A.,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(1982) Am.J.Phys.Anthropol. 58, 173.</t>
    </r>
  </si>
  <si>
    <t>Artega</t>
  </si>
  <si>
    <t>Bedja</t>
  </si>
  <si>
    <r>
      <t xml:space="preserve">Bayoumi, R. A.,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(1981) Hum.Genet 57, 279.</t>
    </r>
  </si>
  <si>
    <t>Beja Banuamir</t>
  </si>
  <si>
    <t>Beja Hadandawa</t>
  </si>
  <si>
    <t>Beni Amir</t>
  </si>
  <si>
    <t>Bisharin</t>
  </si>
  <si>
    <t>Dinka</t>
  </si>
  <si>
    <t>Dongolawi</t>
  </si>
  <si>
    <t>Gomoeia</t>
  </si>
  <si>
    <t>Habbani</t>
  </si>
  <si>
    <t>Haddendoa</t>
  </si>
  <si>
    <t>Jaali</t>
  </si>
  <si>
    <r>
      <t xml:space="preserve">Ingram, C. J.,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(2007) Hum Genet 120, 779.</t>
    </r>
  </si>
  <si>
    <t>Kahli</t>
  </si>
  <si>
    <t>Koalib</t>
  </si>
  <si>
    <t>Liguri/Logorik</t>
  </si>
  <si>
    <t>Masalit</t>
  </si>
  <si>
    <t>Misseri</t>
  </si>
  <si>
    <t>Nilotic</t>
  </si>
  <si>
    <t>Nuba</t>
  </si>
  <si>
    <t xml:space="preserve">Nubians </t>
  </si>
  <si>
    <t>Nuer</t>
  </si>
  <si>
    <t>Shaygi</t>
  </si>
  <si>
    <t>Shilluk</t>
  </si>
  <si>
    <t>Shilook</t>
  </si>
  <si>
    <t>TANZANIA</t>
  </si>
  <si>
    <t>Akie</t>
  </si>
  <si>
    <t>Burunge</t>
  </si>
  <si>
    <t>Datog</t>
  </si>
  <si>
    <t>Dorobo</t>
  </si>
  <si>
    <t>Fiome</t>
  </si>
  <si>
    <t>Hadza</t>
  </si>
  <si>
    <t>Iraqw</t>
  </si>
  <si>
    <t>Mbugu</t>
  </si>
  <si>
    <t>Mbugwe</t>
  </si>
  <si>
    <t>Pare</t>
  </si>
  <si>
    <t>Rangi</t>
  </si>
  <si>
    <t>Samba'a</t>
  </si>
  <si>
    <t>Sandawe</t>
  </si>
  <si>
    <t>TUNISIA</t>
  </si>
  <si>
    <t>Tunisian</t>
  </si>
  <si>
    <r>
      <t xml:space="preserve">Filali, A.,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(1987) Gastroenterol.Clin.Biol 11, 554.</t>
    </r>
  </si>
  <si>
    <t>UGANDA</t>
  </si>
  <si>
    <t>Baganda</t>
  </si>
  <si>
    <t>Cook, G. C., &amp; Dahlquist, A . (1968) Gastroenterology 55, 328.</t>
  </si>
  <si>
    <t>Batutsi</t>
  </si>
  <si>
    <r>
      <t xml:space="preserve">Cook, G. C.,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(1968) Gastroenterology 55, 328.</t>
    </r>
  </si>
  <si>
    <r>
      <t xml:space="preserve">Cook, G. C.,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(1966) Lancet 1, 725.</t>
    </r>
  </si>
  <si>
    <t>Ugandan Bantu</t>
  </si>
  <si>
    <t>ZAMBIA</t>
  </si>
  <si>
    <t>Bantu of Zambia</t>
  </si>
  <si>
    <r>
      <t xml:space="preserve">Cook, G. C., </t>
    </r>
    <r>
      <rPr>
        <i/>
        <sz val="10"/>
        <rFont val="Times New Roman"/>
        <family val="1"/>
      </rPr>
      <t xml:space="preserve">et al. </t>
    </r>
    <r>
      <rPr>
        <sz val="10"/>
        <rFont val="Times New Roman"/>
        <family val="0"/>
      </rPr>
      <t>(1973) Gastroenterology 64, 405.</t>
    </r>
  </si>
  <si>
    <t>ASIA</t>
  </si>
  <si>
    <t>CHINA</t>
  </si>
  <si>
    <t>Kazakh</t>
  </si>
  <si>
    <r>
      <t xml:space="preserve">Yongfa, W.,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(1984) Hum.Genet. 67, 103.</t>
    </r>
  </si>
  <si>
    <t>Mongols</t>
  </si>
  <si>
    <t>Northern Han</t>
  </si>
  <si>
    <t>INDIA</t>
  </si>
  <si>
    <t>Indians</t>
  </si>
  <si>
    <r>
      <t xml:space="preserve">Desai, H. G., </t>
    </r>
    <r>
      <rPr>
        <i/>
        <sz val="10"/>
        <rFont val="Times New Roman"/>
        <family val="1"/>
      </rPr>
      <t xml:space="preserve">et al. </t>
    </r>
    <r>
      <rPr>
        <sz val="10"/>
        <rFont val="Times New Roman"/>
        <family val="0"/>
      </rPr>
      <t>(1970) Indian J.Med.Sci. 24, 729.</t>
    </r>
  </si>
  <si>
    <t>Reddy, V., Pershad, J. (1972) Am.J.Clin.Nutr. 25, 114.</t>
  </si>
  <si>
    <t>BIOPSY</t>
  </si>
  <si>
    <r>
      <t xml:space="preserve">Swaminathan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(1970) Clin Chim Acta 30, 707.</t>
    </r>
  </si>
  <si>
    <t>Northern Indians</t>
  </si>
  <si>
    <r>
      <t xml:space="preserve">Gupta, P. S.,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(1971) J.Trop.Med.Hyg. 74, 225.</t>
    </r>
  </si>
  <si>
    <r>
      <t xml:space="preserve">Tandon, R. K.,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(1981) Am.J.Clin.Nutr. 34, 943.</t>
    </r>
  </si>
  <si>
    <t>JAPAN</t>
  </si>
  <si>
    <t>Japanese</t>
  </si>
  <si>
    <r>
      <t xml:space="preserve">Yoshida, Y.,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(1975) Gastroenterol.Jpn. 10, 29.</t>
    </r>
  </si>
  <si>
    <t>MYANMAR</t>
  </si>
  <si>
    <t>Burmese</t>
  </si>
  <si>
    <r>
      <t xml:space="preserve">Aung-Than-Batu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(1972), Union Burma J Life Sci, 5, 133-135</t>
    </r>
  </si>
  <si>
    <t>PAKISTAN</t>
  </si>
  <si>
    <t>Baloochi</t>
  </si>
  <si>
    <r>
      <t xml:space="preserve">Rab, S. M.,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(1976) Br. Med. J. 1, 436.</t>
    </r>
  </si>
  <si>
    <t>Baluchistani</t>
  </si>
  <si>
    <t>Ahmad, M., Flatz,G. (1984) Hum. Hered. 34, 69.</t>
  </si>
  <si>
    <t>Kashmiri</t>
  </si>
  <si>
    <t>Mohajir</t>
  </si>
  <si>
    <t>Pathan</t>
  </si>
  <si>
    <t>Punjabi</t>
  </si>
  <si>
    <t>Sindhi</t>
  </si>
  <si>
    <t>RUSSIA</t>
  </si>
  <si>
    <t>Khanty (Northern)</t>
  </si>
  <si>
    <t>Kozlov, A. I. (1998) Int J Circumpolar Health 57, 18.</t>
  </si>
  <si>
    <t>Komi-Izhems</t>
  </si>
  <si>
    <t>Mansi</t>
  </si>
  <si>
    <t>Nenets (West Siberia)</t>
  </si>
  <si>
    <t>Udmurtians</t>
  </si>
  <si>
    <t>West-Siberian</t>
  </si>
  <si>
    <t>SRI LANKA</t>
  </si>
  <si>
    <t>Sri Lankan</t>
  </si>
  <si>
    <r>
      <t xml:space="preserve">Thomas, S.,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(1990) J Trop Pediatr 36, 80.</t>
    </r>
  </si>
  <si>
    <t>Sri Lankans ("Ceylonese")</t>
  </si>
  <si>
    <r>
      <t xml:space="preserve">Senewiratne, B.,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(1977) Gastroenterology 72, 1257.</t>
    </r>
  </si>
  <si>
    <t>TAIWAN</t>
  </si>
  <si>
    <t>Chinese</t>
  </si>
  <si>
    <r>
      <t xml:space="preserve">Sung, J.,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(1972) Asian Journal of Medicine 8, 149.</t>
    </r>
  </si>
  <si>
    <t>THAILAND</t>
  </si>
  <si>
    <t>Thai</t>
  </si>
  <si>
    <r>
      <t xml:space="preserve">Keusch, G. T.,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(1969) Am.J.Clin.Nutr. 22, 638.</t>
    </r>
  </si>
  <si>
    <r>
      <t xml:space="preserve">Troncale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(1967) Br. Med. J. 4, 578.</t>
    </r>
  </si>
  <si>
    <t>AUSTRALASIA</t>
  </si>
  <si>
    <t>AUSTRALIA</t>
  </si>
  <si>
    <t>Aboriginal</t>
  </si>
  <si>
    <r>
      <t xml:space="preserve">Brand, J. C.,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(1983) Am.J.Clin.Nutr. 37, 449.</t>
    </r>
  </si>
  <si>
    <t>NEW ZEALAND</t>
  </si>
  <si>
    <t>Maori</t>
  </si>
  <si>
    <t>Abbott W.G., Tasman-Jones C. (1985) N Z Med J. 10;98(776), 228.</t>
  </si>
  <si>
    <t>PAPUA NEW GUINEA</t>
  </si>
  <si>
    <t>Central (inc. Port Moresby)</t>
  </si>
  <si>
    <t>Cook, G. C. (1979) Ann.Hum.Biol 6, 55.</t>
  </si>
  <si>
    <t>E and W Sepik provinces</t>
  </si>
  <si>
    <r>
      <t xml:space="preserve">Arnhold R.G.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(1981) Ann Hum Biol 5, 481</t>
    </r>
  </si>
  <si>
    <t>Gulf &amp; Western</t>
  </si>
  <si>
    <t>Highlands</t>
  </si>
  <si>
    <t xml:space="preserve">Huli, Mendi, and Dunai </t>
  </si>
  <si>
    <r>
      <t xml:space="preserve">Jenkins, T.,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(1981) Ann.Hum.Biol 8, 447.</t>
    </r>
  </si>
  <si>
    <t>Milne Bay</t>
  </si>
  <si>
    <t>Morobe &amp; Northern</t>
  </si>
  <si>
    <t>N. Solomons &amp; E. New Britain</t>
  </si>
  <si>
    <t>EUROPE</t>
  </si>
  <si>
    <t>AUSTRIA</t>
  </si>
  <si>
    <t>Austrian</t>
  </si>
  <si>
    <r>
      <t xml:space="preserve">Rosenkranz, W.,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(1982) Hum.Genet 62, 158.</t>
    </r>
  </si>
  <si>
    <t>Karnten Austrian</t>
  </si>
  <si>
    <t>Oberosterreich Austrian</t>
  </si>
  <si>
    <t>Tirol Austrian</t>
  </si>
  <si>
    <t>CYPRUS</t>
  </si>
  <si>
    <t>Greek Cypriots</t>
  </si>
  <si>
    <r>
      <t xml:space="preserve">Kanaghinis, T.,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(1974) Am.J.Dig.Dis. 19, 1021.</t>
    </r>
  </si>
  <si>
    <t>DENMARK</t>
  </si>
  <si>
    <t>Danes</t>
  </si>
  <si>
    <r>
      <t xml:space="preserve">Busk, H. E.,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(1975) Ugeskr Laeger 137, 2062-4.</t>
    </r>
  </si>
  <si>
    <t>ESTONIA</t>
  </si>
  <si>
    <t>Estonian</t>
  </si>
  <si>
    <r>
      <t xml:space="preserve">Lember, M.,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(1991) Eur J Gastroenterol Hepatol 3, 479.</t>
    </r>
  </si>
  <si>
    <t>Setus</t>
  </si>
  <si>
    <t>FINLAND</t>
  </si>
  <si>
    <t>Finnish-speaking Finns</t>
  </si>
  <si>
    <t>Sahi, T. (1974) Scand.J.Gastroenterol. 9, 303.</t>
  </si>
  <si>
    <t>Finns</t>
  </si>
  <si>
    <t>Jussila, J. (1969) Ann.Clin.Res. 1, 199.</t>
  </si>
  <si>
    <t>Rural Finn</t>
  </si>
  <si>
    <r>
      <t xml:space="preserve">Jussila, J.,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(1970) Scand.J.Gastroenterol. 5, 49.</t>
    </r>
  </si>
  <si>
    <t>Swedish-speaking Finns</t>
  </si>
  <si>
    <t>FORMER CZECHOSLOVAKIA</t>
  </si>
  <si>
    <t>Czech</t>
  </si>
  <si>
    <t>Leichter, J. (1972) Am.J.Dig.Dis. 17, 73.</t>
  </si>
  <si>
    <t>FRANCE</t>
  </si>
  <si>
    <t>French</t>
  </si>
  <si>
    <r>
      <t>Cloarec, D.,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0"/>
      </rPr>
      <t xml:space="preserve"> (1991) Gastroenterol.Clin.Biol 15, 588.</t>
    </r>
  </si>
  <si>
    <r>
      <t xml:space="preserve">Cuddenec, Y.,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(1982) Gastroenterol.Clin.Biol 6, 776.</t>
    </r>
  </si>
  <si>
    <t>Maghrebins (Northern African Muslims)</t>
  </si>
  <si>
    <r>
      <t xml:space="preserve">O'Morain, C.,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(1978) Acta Gastroenterol Belg 41, 56-63.</t>
    </r>
  </si>
  <si>
    <t>Northern French</t>
  </si>
  <si>
    <t>Southern French</t>
  </si>
  <si>
    <t>GERMANY</t>
  </si>
  <si>
    <t>Baden-Wurttemberg Germans</t>
  </si>
  <si>
    <r>
      <t xml:space="preserve">Flatz, G.,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(1982) Hum.Genet 62, 152.</t>
    </r>
  </si>
  <si>
    <t>Bayern Germans</t>
  </si>
  <si>
    <t>Eastern Germans</t>
  </si>
  <si>
    <t>Germans</t>
  </si>
  <si>
    <r>
      <t xml:space="preserve">Howell, J. N.,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(1980) Hepatogastroenterology 27, 208.</t>
    </r>
  </si>
  <si>
    <t>Northwest Germans</t>
  </si>
  <si>
    <t>Rheinland and Pfalz Germans</t>
  </si>
  <si>
    <t>Schleswig-Holstein Germans</t>
  </si>
  <si>
    <t>GREECE</t>
  </si>
  <si>
    <t>Continental Greeks</t>
  </si>
  <si>
    <t>Cretan Greek</t>
  </si>
  <si>
    <t>Greek</t>
  </si>
  <si>
    <t>Spanidou, E. P., &amp; Petrakis, NL (1972) Lancet 2, 872.</t>
  </si>
  <si>
    <t>Greeks</t>
  </si>
  <si>
    <r>
      <t xml:space="preserve">Ladas, S.,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(1982) Gut 23, 968.</t>
    </r>
  </si>
  <si>
    <r>
      <t xml:space="preserve">Zografos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 xml:space="preserve">. (1973), The Lancet, 301,367.   </t>
    </r>
  </si>
  <si>
    <t>HUNGARY</t>
  </si>
  <si>
    <t>Eastern Hungarian</t>
  </si>
  <si>
    <r>
      <t xml:space="preserve">Czeizel, A.,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(1983) Hum.Genet 64, 398.</t>
    </r>
  </si>
  <si>
    <t>Hungarian</t>
  </si>
  <si>
    <t>Matyo</t>
  </si>
  <si>
    <t>Northeastern Hungarian</t>
  </si>
  <si>
    <t>Romai</t>
  </si>
  <si>
    <t>Western Hungarian</t>
  </si>
  <si>
    <t>IRELAND</t>
  </si>
  <si>
    <t>Native Irish</t>
  </si>
  <si>
    <r>
      <t xml:space="preserve">Fielding, J. F., </t>
    </r>
    <r>
      <rPr>
        <i/>
        <sz val="10"/>
        <rFont val="Times New Roman"/>
        <family val="1"/>
      </rPr>
      <t xml:space="preserve">et al. </t>
    </r>
    <r>
      <rPr>
        <sz val="10"/>
        <rFont val="Times New Roman"/>
        <family val="0"/>
      </rPr>
      <t>(1981) Ir.J.Med.Sci. 150, 276.</t>
    </r>
  </si>
  <si>
    <t>ITALY</t>
  </si>
  <si>
    <t>Italians</t>
  </si>
  <si>
    <r>
      <t>Bozzani, A.,</t>
    </r>
    <r>
      <rPr>
        <i/>
        <sz val="10"/>
        <rFont val="Times New Roman"/>
        <family val="1"/>
      </rPr>
      <t xml:space="preserve"> et al. </t>
    </r>
    <r>
      <rPr>
        <sz val="10"/>
        <rFont val="Times New Roman"/>
        <family val="0"/>
      </rPr>
      <t>(1986) Dig.Dis.Sci. 31, 1313.</t>
    </r>
  </si>
  <si>
    <r>
      <t>Cavalli-Sforza</t>
    </r>
    <r>
      <rPr>
        <i/>
        <sz val="10"/>
        <rFont val="Times New Roman"/>
        <family val="1"/>
      </rPr>
      <t xml:space="preserve"> et al. </t>
    </r>
    <r>
      <rPr>
        <sz val="10"/>
        <rFont val="Times New Roman"/>
        <family val="0"/>
      </rPr>
      <t>(1987) Am J Clin Nutr 45, 748</t>
    </r>
  </si>
  <si>
    <r>
      <t xml:space="preserve">Rossi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., (1997), Gastroenterology. 112(5), 1506.</t>
    </r>
  </si>
  <si>
    <r>
      <t xml:space="preserve">Zuccato, E.,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(1983) Eur J Clin Invest 13, 261.</t>
    </r>
  </si>
  <si>
    <t>Napolitans</t>
  </si>
  <si>
    <r>
      <t xml:space="preserve">Rinaldi, E.,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(1984) Lancet 1, 355-7.</t>
    </r>
  </si>
  <si>
    <t>Neapolitan</t>
  </si>
  <si>
    <r>
      <t>De Ritis,  F.,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0"/>
      </rPr>
      <t xml:space="preserve"> (1970) Enzymol.Biol Clin.(Basel) 11, 263.</t>
    </r>
  </si>
  <si>
    <t>Northern Italians</t>
  </si>
  <si>
    <r>
      <t>Burgio, G. R.,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0"/>
      </rPr>
      <t xml:space="preserve"> (1984) Am.J.Clin.Nutr. 39, 100.</t>
    </r>
  </si>
  <si>
    <t>Sardinians</t>
  </si>
  <si>
    <r>
      <t xml:space="preserve">Meloni, G. F.,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(2001)Am.J.Clin.Nutr. 73, 582.</t>
    </r>
  </si>
  <si>
    <r>
      <t xml:space="preserve">Meloni, T.,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., (1998) Ital J Gastroenterol Hepatol 30, 490.</t>
    </r>
  </si>
  <si>
    <t>Sicilians</t>
  </si>
  <si>
    <r>
      <t xml:space="preserve">Burgio, G. R.,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(1984) Am.J.Clin.Nutr. 39, 100.</t>
    </r>
  </si>
  <si>
    <t>POLAND</t>
  </si>
  <si>
    <t>Eastern Polish</t>
  </si>
  <si>
    <r>
      <t xml:space="preserve">Socha, J.,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(1984) Ann.Hum.Biol 11, 311.</t>
    </r>
  </si>
  <si>
    <t>Northeastern Polish</t>
  </si>
  <si>
    <t>Polish</t>
  </si>
  <si>
    <t>Kildin Saami</t>
  </si>
  <si>
    <t>Komi-Permiaks</t>
  </si>
  <si>
    <t>SPAIN</t>
  </si>
  <si>
    <t>Galician</t>
  </si>
  <si>
    <r>
      <t xml:space="preserve">Leis, R.,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(1997) J.Pediatr.Gastroenterol.Nutr. 25, 296.</t>
    </r>
  </si>
  <si>
    <t>UK</t>
  </si>
  <si>
    <t>British</t>
  </si>
  <si>
    <r>
      <t xml:space="preserve">Ferguson, A.,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(1984) Gut 25, 163.</t>
    </r>
  </si>
  <si>
    <t>British natives</t>
  </si>
  <si>
    <r>
      <t xml:space="preserve">Ho, M. W.,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(1982) Am.J.Hum.Genet 34, 650.</t>
    </r>
  </si>
  <si>
    <t>White British</t>
  </si>
  <si>
    <r>
      <t xml:space="preserve">Iqbal, T. H.,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(1993) Br. Med. J.  306, 1303.</t>
    </r>
  </si>
  <si>
    <t>NEAR/MIDDLE EAST</t>
  </si>
  <si>
    <t>AFGHANISTAN</t>
  </si>
  <si>
    <t>Hazara</t>
  </si>
  <si>
    <r>
      <t xml:space="preserve">Rahimi, A. G.,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(1976) Hum.Genet. 34, 57.</t>
    </r>
  </si>
  <si>
    <t>Mixed urban</t>
  </si>
  <si>
    <t>Pasha-I</t>
  </si>
  <si>
    <t>Pashtun</t>
  </si>
  <si>
    <t>Tajik</t>
  </si>
  <si>
    <t>Uzbek</t>
  </si>
  <si>
    <t>IRAN</t>
  </si>
  <si>
    <t>Iranian</t>
  </si>
  <si>
    <r>
      <t xml:space="preserve">Sadre, M.,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(1979) Am.J.Clin.Nutr. 32, 1948.</t>
    </r>
  </si>
  <si>
    <t>ISRAEL</t>
  </si>
  <si>
    <t>Arabs</t>
  </si>
  <si>
    <r>
      <t xml:space="preserve">Gilat, T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 xml:space="preserve"> (1971) Digestive Diseases 16, 203 </t>
    </r>
  </si>
  <si>
    <t>JORDAN</t>
  </si>
  <si>
    <t>Jordanian Arabs</t>
  </si>
  <si>
    <r>
      <t xml:space="preserve">Hijazi, S. S.,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(1983) Trop.Geogr.Med. 35, 157.</t>
    </r>
  </si>
  <si>
    <t>Mediterranean origin Jordanian Arabs</t>
  </si>
  <si>
    <r>
      <t xml:space="preserve">Snook, C. R.,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(1976) Trop.Geogr.Med. 28, 333.</t>
    </r>
  </si>
  <si>
    <t>Urban/agricultural Jordanian Arabs</t>
  </si>
  <si>
    <t>KUWAIT</t>
  </si>
  <si>
    <t>Arab Kuwaiti</t>
  </si>
  <si>
    <r>
      <t xml:space="preserve">Sanae, H. A.,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>. (2003) Med. Princ. Pract. 12, 160.</t>
    </r>
  </si>
  <si>
    <t>Asian Kuwaiti</t>
  </si>
  <si>
    <t>LEBANON</t>
  </si>
  <si>
    <t>Lebanese</t>
  </si>
  <si>
    <t>Nasrallah, S. M. (1979) Am.J.Clin.Nutr. 32, 1994.</t>
  </si>
  <si>
    <t>Abbas H., Ahmad M. (1983) Hum. Genet. 64:277.</t>
  </si>
  <si>
    <t>SAUDI ARABIA</t>
  </si>
  <si>
    <r>
      <t xml:space="preserve">Dissanayake, A.S.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0"/>
      </rPr>
      <t>, (1990) Annals of Saudi Medicine, 10, 598.</t>
    </r>
  </si>
  <si>
    <t xml:space="preserve">Bedouin </t>
  </si>
  <si>
    <t>Beduin and Urban Saudi</t>
  </si>
  <si>
    <t>Cook &amp; Al Torki (1975) Br. Med. J.  3,135.</t>
  </si>
  <si>
    <t>Yemenites</t>
  </si>
  <si>
    <t>TURKEY</t>
  </si>
  <si>
    <t>Central Anatolia</t>
  </si>
  <si>
    <t>Eastern Anatolia</t>
  </si>
  <si>
    <t>North Coast of Turkey</t>
  </si>
  <si>
    <t>South Coast of Turkey</t>
  </si>
  <si>
    <t>Turks</t>
  </si>
  <si>
    <r>
      <t xml:space="preserve">Tuncbilek, </t>
    </r>
    <r>
      <rPr>
        <i/>
        <sz val="10"/>
        <rFont val="Times New Roman"/>
        <family val="1"/>
      </rPr>
      <t>et al</t>
    </r>
    <r>
      <rPr>
        <sz val="10"/>
        <rFont val="Times New Roman"/>
        <family val="0"/>
      </rPr>
      <t xml:space="preserve">. (1973), The Lancet July 21, 151 </t>
    </r>
  </si>
  <si>
    <t>Western Anatolia and European Turkey</t>
  </si>
  <si>
    <t>Uzbekistan</t>
  </si>
  <si>
    <t>Tajiko-Uzbek</t>
  </si>
  <si>
    <t>BG+BH</t>
  </si>
  <si>
    <t xml:space="preserve">Heyer et al. (2011) Human Biology, 83(3), 379-392 </t>
  </si>
  <si>
    <t>DATE ADDED</t>
  </si>
  <si>
    <t>19/04/2012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</si>
</sst>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2">
    <font>
      <sz val="10"/>
      <name val="Verdana"/>
      <family val="2"/>
    </font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0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textRotation="45" wrapText="1"/>
    </xf>
    <xf numFmtId="49" fontId="3" fillId="0" borderId="0" xfId="0" applyNumberFormat="1" applyFont="1" applyBorder="1" applyAlignment="1">
      <alignment horizontal="left" vertical="center" textRotation="45" wrapText="1"/>
    </xf>
    <xf numFmtId="49" fontId="2" fillId="0" borderId="0" xfId="0" applyNumberFormat="1" applyFont="1" applyAlignment="1">
      <alignment textRotation="45" wrapText="1"/>
    </xf>
    <xf numFmtId="49" fontId="0" fillId="0" borderId="0" xfId="0" applyNumberFormat="1" applyAlignment="1">
      <alignment textRotation="45" wrapText="1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2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textRotation="45" wrapText="1"/>
    </xf>
    <xf numFmtId="14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7"/>
  <sheetViews>
    <sheetView tabSelected="1" zoomScale="125" zoomScaleNormal="125" workbookViewId="0" topLeftCell="A1">
      <pane ySplit="1" topLeftCell="BM2" activePane="bottomLeft" state="frozen"/>
      <selection pane="topLeft" activeCell="A1" sqref="A1"/>
      <selection pane="bottomLeft" activeCell="E5" sqref="E5"/>
    </sheetView>
  </sheetViews>
  <sheetFormatPr defaultColWidth="10.75390625" defaultRowHeight="12.75"/>
  <cols>
    <col min="1" max="3" width="10.75390625" style="1" customWidth="1"/>
    <col min="4" max="5" width="7.375" style="1" customWidth="1"/>
    <col min="6" max="6" width="6.00390625" style="1" customWidth="1"/>
    <col min="7" max="7" width="5.75390625" style="1" customWidth="1"/>
    <col min="8" max="8" width="9.125" style="1" customWidth="1"/>
    <col min="9" max="9" width="9.00390625" style="1" customWidth="1"/>
    <col min="10" max="13" width="10.75390625" style="1" customWidth="1"/>
    <col min="14" max="14" width="11.00390625" style="0" customWidth="1"/>
    <col min="15" max="16384" width="10.75390625" style="1" customWidth="1"/>
  </cols>
  <sheetData>
    <row r="1" spans="1:14" s="4" customFormat="1" ht="129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19" t="s">
        <v>359</v>
      </c>
      <c r="N1" s="5"/>
    </row>
    <row r="2" spans="1:14" s="14" customFormat="1" ht="12.75">
      <c r="A2" s="13" t="s">
        <v>213</v>
      </c>
      <c r="B2" s="14" t="s">
        <v>355</v>
      </c>
      <c r="C2" s="15" t="s">
        <v>356</v>
      </c>
      <c r="D2" s="16">
        <f>64+(25*60+16.59)/3600</f>
        <v>64.421275</v>
      </c>
      <c r="E2" s="16">
        <f>39+(45*60+56.57)/3600</f>
        <v>39.76571388888889</v>
      </c>
      <c r="F2" s="17">
        <v>100</v>
      </c>
      <c r="G2" s="14">
        <v>0.11</v>
      </c>
      <c r="H2" s="14" t="s">
        <v>357</v>
      </c>
      <c r="I2" s="18" t="s">
        <v>358</v>
      </c>
      <c r="K2" s="13" t="s">
        <v>360</v>
      </c>
      <c r="N2" s="21"/>
    </row>
    <row r="3" spans="1:14" s="14" customFormat="1" ht="12.75">
      <c r="A3" s="13" t="s">
        <v>213</v>
      </c>
      <c r="B3" s="14" t="s">
        <v>355</v>
      </c>
      <c r="C3" s="15" t="s">
        <v>145</v>
      </c>
      <c r="D3" s="16">
        <f>63+(27*60+22)/3600</f>
        <v>63.45611111111111</v>
      </c>
      <c r="E3" s="16">
        <f>40+(7*60+52)/3600</f>
        <v>40.13111111111111</v>
      </c>
      <c r="F3" s="17">
        <v>83</v>
      </c>
      <c r="G3" s="7">
        <v>0.253</v>
      </c>
      <c r="H3" s="14" t="s">
        <v>357</v>
      </c>
      <c r="I3" s="18" t="s">
        <v>358</v>
      </c>
      <c r="K3" s="13" t="s">
        <v>360</v>
      </c>
      <c r="N3" s="21"/>
    </row>
    <row r="4" spans="1:9" ht="12.75">
      <c r="A4" s="6"/>
      <c r="B4" s="6"/>
      <c r="C4" s="6"/>
      <c r="D4" s="7"/>
      <c r="E4" s="7"/>
      <c r="F4" s="8"/>
      <c r="G4" s="7"/>
      <c r="H4" s="6"/>
      <c r="I4" s="9"/>
    </row>
    <row r="5" spans="1:11" ht="12.75">
      <c r="A5" s="6" t="s">
        <v>9</v>
      </c>
      <c r="B5" s="6" t="s">
        <v>10</v>
      </c>
      <c r="C5" s="6" t="s">
        <v>11</v>
      </c>
      <c r="D5" s="7">
        <v>25</v>
      </c>
      <c r="E5" s="7">
        <v>-25</v>
      </c>
      <c r="F5" s="8">
        <v>22</v>
      </c>
      <c r="G5" s="7">
        <f>2/F5</f>
        <v>0.09090909090909091</v>
      </c>
      <c r="H5" s="6" t="s">
        <v>12</v>
      </c>
      <c r="I5" s="9" t="s">
        <v>13</v>
      </c>
      <c r="K5" s="20">
        <v>38961</v>
      </c>
    </row>
    <row r="6" spans="1:11" ht="12.75">
      <c r="A6" s="6" t="s">
        <v>9</v>
      </c>
      <c r="B6" s="6" t="s">
        <v>14</v>
      </c>
      <c r="C6" s="6" t="s">
        <v>15</v>
      </c>
      <c r="D6" s="7">
        <v>31.25</v>
      </c>
      <c r="E6" s="7">
        <v>30.05</v>
      </c>
      <c r="F6" s="8">
        <v>67</v>
      </c>
      <c r="G6" s="7">
        <f>22/F6</f>
        <v>0.3283582089552239</v>
      </c>
      <c r="H6" s="6" t="s">
        <v>16</v>
      </c>
      <c r="I6" s="9" t="s">
        <v>17</v>
      </c>
      <c r="K6" s="20">
        <v>38961</v>
      </c>
    </row>
    <row r="7" spans="1:11" ht="12.75">
      <c r="A7" s="6" t="s">
        <v>9</v>
      </c>
      <c r="B7" s="6" t="s">
        <v>14</v>
      </c>
      <c r="C7" s="6" t="s">
        <v>18</v>
      </c>
      <c r="D7" s="7">
        <v>32</v>
      </c>
      <c r="E7" s="7">
        <v>31.5</v>
      </c>
      <c r="F7" s="8">
        <v>291</v>
      </c>
      <c r="G7" s="7">
        <f>78/F7</f>
        <v>0.26804123711340205</v>
      </c>
      <c r="H7" s="6" t="s">
        <v>16</v>
      </c>
      <c r="I7" s="9" t="s">
        <v>17</v>
      </c>
      <c r="K7" s="20">
        <v>38961</v>
      </c>
    </row>
    <row r="8" spans="1:11" ht="12.75">
      <c r="A8" s="6" t="s">
        <v>9</v>
      </c>
      <c r="B8" s="6" t="s">
        <v>14</v>
      </c>
      <c r="C8" s="6" t="s">
        <v>19</v>
      </c>
      <c r="D8" s="7">
        <v>32.5</v>
      </c>
      <c r="E8" s="7">
        <v>31</v>
      </c>
      <c r="F8" s="8">
        <v>16</v>
      </c>
      <c r="G8" s="7">
        <f>5/F8</f>
        <v>0.3125</v>
      </c>
      <c r="H8" s="6" t="s">
        <v>16</v>
      </c>
      <c r="I8" s="9" t="s">
        <v>17</v>
      </c>
      <c r="K8" s="20">
        <v>38961</v>
      </c>
    </row>
    <row r="9" spans="1:11" ht="12.75">
      <c r="A9" s="6" t="s">
        <v>9</v>
      </c>
      <c r="B9" s="6" t="s">
        <v>14</v>
      </c>
      <c r="C9" s="6" t="s">
        <v>20</v>
      </c>
      <c r="D9" s="7">
        <v>28</v>
      </c>
      <c r="E9" s="7">
        <v>31</v>
      </c>
      <c r="F9" s="8">
        <v>111</v>
      </c>
      <c r="G9" s="7">
        <f>17/F9</f>
        <v>0.15315315315315314</v>
      </c>
      <c r="H9" s="6" t="s">
        <v>16</v>
      </c>
      <c r="I9" s="9" t="s">
        <v>17</v>
      </c>
      <c r="K9" s="20">
        <v>38961</v>
      </c>
    </row>
    <row r="10" spans="1:11" ht="12.75">
      <c r="A10" s="6" t="s">
        <v>9</v>
      </c>
      <c r="B10" s="6" t="s">
        <v>14</v>
      </c>
      <c r="C10" s="6" t="s">
        <v>21</v>
      </c>
      <c r="D10" s="7">
        <v>28</v>
      </c>
      <c r="E10" s="7">
        <v>28</v>
      </c>
      <c r="F10" s="8">
        <v>85</v>
      </c>
      <c r="G10" s="7">
        <f>34/F10</f>
        <v>0.4</v>
      </c>
      <c r="H10" s="6" t="s">
        <v>16</v>
      </c>
      <c r="I10" s="9" t="s">
        <v>17</v>
      </c>
      <c r="K10" s="20">
        <v>38961</v>
      </c>
    </row>
    <row r="11" spans="1:13" ht="12.75">
      <c r="A11" s="6" t="s">
        <v>9</v>
      </c>
      <c r="B11" s="6" t="s">
        <v>22</v>
      </c>
      <c r="C11" s="6" t="s">
        <v>23</v>
      </c>
      <c r="D11" s="7">
        <v>41.86</v>
      </c>
      <c r="E11" s="7">
        <v>9.589</v>
      </c>
      <c r="F11" s="8">
        <v>90</v>
      </c>
      <c r="G11" s="7">
        <v>0.24444444444444444</v>
      </c>
      <c r="H11" s="10" t="s">
        <v>16</v>
      </c>
      <c r="I11" s="6" t="s">
        <v>24</v>
      </c>
      <c r="K11" s="20">
        <v>38961</v>
      </c>
      <c r="M11" s="1" t="s">
        <v>25</v>
      </c>
    </row>
    <row r="12" spans="1:11" ht="12.75">
      <c r="A12" s="6" t="s">
        <v>9</v>
      </c>
      <c r="B12" s="6" t="s">
        <v>26</v>
      </c>
      <c r="C12" s="6" t="s">
        <v>27</v>
      </c>
      <c r="D12" s="7">
        <v>9.45</v>
      </c>
      <c r="E12" s="7">
        <v>0.383</v>
      </c>
      <c r="F12" s="6">
        <v>20</v>
      </c>
      <c r="G12" s="7">
        <v>0.4</v>
      </c>
      <c r="H12" s="6" t="s">
        <v>16</v>
      </c>
      <c r="I12" s="6" t="s">
        <v>28</v>
      </c>
      <c r="K12" s="20">
        <v>38961</v>
      </c>
    </row>
    <row r="13" spans="1:11" ht="12.75">
      <c r="A13" s="6" t="s">
        <v>9</v>
      </c>
      <c r="B13" s="6" t="s">
        <v>29</v>
      </c>
      <c r="C13" s="6" t="s">
        <v>30</v>
      </c>
      <c r="D13" s="7">
        <v>38</v>
      </c>
      <c r="E13" s="7">
        <v>1</v>
      </c>
      <c r="F13" s="8">
        <v>7</v>
      </c>
      <c r="G13" s="7">
        <f>5/F13</f>
        <v>0.7142857142857143</v>
      </c>
      <c r="H13" s="6" t="s">
        <v>12</v>
      </c>
      <c r="I13" s="9" t="s">
        <v>31</v>
      </c>
      <c r="K13" s="20">
        <v>38961</v>
      </c>
    </row>
    <row r="14" spans="1:11" ht="12.75">
      <c r="A14" s="6" t="s">
        <v>9</v>
      </c>
      <c r="B14" s="6" t="s">
        <v>29</v>
      </c>
      <c r="C14" s="6" t="s">
        <v>32</v>
      </c>
      <c r="D14" s="7">
        <v>38</v>
      </c>
      <c r="E14" s="7">
        <v>1</v>
      </c>
      <c r="F14" s="8">
        <v>6</v>
      </c>
      <c r="G14" s="7">
        <f>3/F14</f>
        <v>0.5</v>
      </c>
      <c r="H14" s="6" t="s">
        <v>12</v>
      </c>
      <c r="I14" s="9" t="s">
        <v>31</v>
      </c>
      <c r="K14" s="20">
        <v>38961</v>
      </c>
    </row>
    <row r="15" spans="1:11" ht="12.75">
      <c r="A15" s="6" t="s">
        <v>9</v>
      </c>
      <c r="B15" s="6" t="s">
        <v>29</v>
      </c>
      <c r="C15" s="6" t="s">
        <v>33</v>
      </c>
      <c r="D15" s="7">
        <v>38</v>
      </c>
      <c r="E15" s="7">
        <v>1</v>
      </c>
      <c r="F15" s="8">
        <v>6</v>
      </c>
      <c r="G15" s="7">
        <f>4/F15</f>
        <v>0.6666666666666666</v>
      </c>
      <c r="H15" s="6" t="s">
        <v>12</v>
      </c>
      <c r="I15" s="9" t="s">
        <v>31</v>
      </c>
      <c r="K15" s="20">
        <v>38961</v>
      </c>
    </row>
    <row r="16" spans="1:11" ht="12.75">
      <c r="A16" s="6" t="s">
        <v>9</v>
      </c>
      <c r="B16" s="6" t="s">
        <v>29</v>
      </c>
      <c r="C16" s="6" t="s">
        <v>34</v>
      </c>
      <c r="D16" s="7">
        <v>38</v>
      </c>
      <c r="E16" s="7">
        <v>1</v>
      </c>
      <c r="F16" s="8">
        <v>8</v>
      </c>
      <c r="G16" s="7">
        <f>8/F16</f>
        <v>1</v>
      </c>
      <c r="H16" s="6" t="s">
        <v>12</v>
      </c>
      <c r="I16" s="9" t="s">
        <v>31</v>
      </c>
      <c r="K16" s="20">
        <v>38961</v>
      </c>
    </row>
    <row r="17" spans="1:11" ht="12.75">
      <c r="A17" s="6" t="s">
        <v>9</v>
      </c>
      <c r="B17" s="6" t="s">
        <v>29</v>
      </c>
      <c r="C17" s="6" t="s">
        <v>35</v>
      </c>
      <c r="D17" s="7">
        <v>38</v>
      </c>
      <c r="E17" s="7">
        <v>1</v>
      </c>
      <c r="F17" s="8">
        <v>2</v>
      </c>
      <c r="G17" s="7">
        <f>1/F17</f>
        <v>0.5</v>
      </c>
      <c r="H17" s="6" t="s">
        <v>12</v>
      </c>
      <c r="I17" s="9" t="s">
        <v>31</v>
      </c>
      <c r="K17" s="20">
        <v>38961</v>
      </c>
    </row>
    <row r="18" spans="1:11" ht="12.75">
      <c r="A18" s="6" t="s">
        <v>9</v>
      </c>
      <c r="B18" s="6" t="s">
        <v>29</v>
      </c>
      <c r="C18" s="6" t="s">
        <v>36</v>
      </c>
      <c r="D18" s="7">
        <v>38</v>
      </c>
      <c r="E18" s="7">
        <v>1</v>
      </c>
      <c r="F18" s="8">
        <v>4</v>
      </c>
      <c r="G18" s="7">
        <f>2/F18</f>
        <v>0.5</v>
      </c>
      <c r="H18" s="6" t="s">
        <v>12</v>
      </c>
      <c r="I18" s="9" t="s">
        <v>31</v>
      </c>
      <c r="K18" s="20">
        <v>38961</v>
      </c>
    </row>
    <row r="19" spans="1:11" ht="12.75">
      <c r="A19" s="6" t="s">
        <v>9</v>
      </c>
      <c r="B19" s="6" t="s">
        <v>29</v>
      </c>
      <c r="C19" s="6" t="s">
        <v>37</v>
      </c>
      <c r="D19" s="7">
        <v>38</v>
      </c>
      <c r="E19" s="7">
        <v>1</v>
      </c>
      <c r="F19" s="8">
        <v>26</v>
      </c>
      <c r="G19" s="7">
        <f>23/F19</f>
        <v>0.8846153846153846</v>
      </c>
      <c r="H19" s="6" t="s">
        <v>12</v>
      </c>
      <c r="I19" s="9" t="s">
        <v>31</v>
      </c>
      <c r="K19" s="20">
        <v>38961</v>
      </c>
    </row>
    <row r="20" spans="1:11" ht="12.75">
      <c r="A20" s="6" t="s">
        <v>9</v>
      </c>
      <c r="B20" s="6" t="s">
        <v>29</v>
      </c>
      <c r="C20" s="6" t="s">
        <v>38</v>
      </c>
      <c r="D20" s="7">
        <v>38</v>
      </c>
      <c r="E20" s="7">
        <v>1</v>
      </c>
      <c r="F20" s="8">
        <v>5</v>
      </c>
      <c r="G20" s="7">
        <f>3/F20</f>
        <v>0.6</v>
      </c>
      <c r="H20" s="6" t="s">
        <v>12</v>
      </c>
      <c r="I20" s="9" t="s">
        <v>31</v>
      </c>
      <c r="K20" s="20">
        <v>38961</v>
      </c>
    </row>
    <row r="21" spans="1:11" ht="12.75">
      <c r="A21" s="6" t="s">
        <v>9</v>
      </c>
      <c r="B21" s="6" t="s">
        <v>29</v>
      </c>
      <c r="C21" s="6" t="s">
        <v>39</v>
      </c>
      <c r="D21" s="7">
        <v>38</v>
      </c>
      <c r="E21" s="7">
        <v>1</v>
      </c>
      <c r="F21" s="8">
        <v>2</v>
      </c>
      <c r="G21" s="7">
        <f>0/F21</f>
        <v>0</v>
      </c>
      <c r="H21" s="6" t="s">
        <v>12</v>
      </c>
      <c r="I21" s="9" t="s">
        <v>31</v>
      </c>
      <c r="K21" s="20">
        <v>38961</v>
      </c>
    </row>
    <row r="22" spans="1:11" ht="12.75">
      <c r="A22" s="6" t="s">
        <v>9</v>
      </c>
      <c r="B22" s="6" t="s">
        <v>29</v>
      </c>
      <c r="C22" s="6" t="s">
        <v>40</v>
      </c>
      <c r="D22" s="7">
        <v>38</v>
      </c>
      <c r="E22" s="7">
        <v>1</v>
      </c>
      <c r="F22" s="8">
        <v>11</v>
      </c>
      <c r="G22" s="7">
        <f>6/F22</f>
        <v>0.5454545454545454</v>
      </c>
      <c r="H22" s="6" t="s">
        <v>12</v>
      </c>
      <c r="I22" s="9" t="s">
        <v>31</v>
      </c>
      <c r="K22" s="20">
        <v>38961</v>
      </c>
    </row>
    <row r="23" spans="1:11" ht="12.75">
      <c r="A23" s="6" t="s">
        <v>9</v>
      </c>
      <c r="B23" s="6" t="s">
        <v>29</v>
      </c>
      <c r="C23" s="6" t="s">
        <v>41</v>
      </c>
      <c r="D23" s="7">
        <v>38</v>
      </c>
      <c r="E23" s="7">
        <v>1</v>
      </c>
      <c r="F23" s="8">
        <v>10</v>
      </c>
      <c r="G23" s="7">
        <f>6/F23</f>
        <v>0.6</v>
      </c>
      <c r="H23" s="6" t="s">
        <v>12</v>
      </c>
      <c r="I23" s="9" t="s">
        <v>31</v>
      </c>
      <c r="K23" s="20">
        <v>38961</v>
      </c>
    </row>
    <row r="24" spans="1:11" ht="12.75">
      <c r="A24" s="6" t="s">
        <v>9</v>
      </c>
      <c r="B24" s="6" t="s">
        <v>29</v>
      </c>
      <c r="C24" s="6" t="s">
        <v>42</v>
      </c>
      <c r="D24" s="7">
        <v>38</v>
      </c>
      <c r="E24" s="7">
        <v>1</v>
      </c>
      <c r="F24" s="8">
        <v>7</v>
      </c>
      <c r="G24" s="7">
        <f>5/F24</f>
        <v>0.7142857142857143</v>
      </c>
      <c r="H24" s="6" t="s">
        <v>12</v>
      </c>
      <c r="I24" s="9" t="s">
        <v>31</v>
      </c>
      <c r="K24" s="20">
        <v>38961</v>
      </c>
    </row>
    <row r="25" spans="1:11" ht="12.75">
      <c r="A25" s="6" t="s">
        <v>9</v>
      </c>
      <c r="B25" s="6" t="s">
        <v>29</v>
      </c>
      <c r="C25" s="6" t="s">
        <v>43</v>
      </c>
      <c r="D25" s="7">
        <v>38</v>
      </c>
      <c r="E25" s="7">
        <v>1</v>
      </c>
      <c r="F25" s="8">
        <v>4</v>
      </c>
      <c r="G25" s="7">
        <f>3/F25</f>
        <v>0.75</v>
      </c>
      <c r="H25" s="6" t="s">
        <v>12</v>
      </c>
      <c r="I25" s="9" t="s">
        <v>31</v>
      </c>
      <c r="K25" s="20">
        <v>38961</v>
      </c>
    </row>
    <row r="26" spans="1:11" ht="12.75">
      <c r="A26" s="6" t="s">
        <v>9</v>
      </c>
      <c r="B26" s="6" t="s">
        <v>29</v>
      </c>
      <c r="C26" s="6" t="s">
        <v>44</v>
      </c>
      <c r="D26" s="7">
        <v>38</v>
      </c>
      <c r="E26" s="7">
        <v>1</v>
      </c>
      <c r="F26" s="8">
        <v>9</v>
      </c>
      <c r="G26" s="7">
        <f>8/F26</f>
        <v>0.8888888888888888</v>
      </c>
      <c r="H26" s="6" t="s">
        <v>12</v>
      </c>
      <c r="I26" s="9" t="s">
        <v>31</v>
      </c>
      <c r="K26" s="20">
        <v>38961</v>
      </c>
    </row>
    <row r="27" spans="1:11" ht="12.75">
      <c r="A27" s="6" t="s">
        <v>9</v>
      </c>
      <c r="B27" s="6" t="s">
        <v>29</v>
      </c>
      <c r="C27" s="6" t="s">
        <v>45</v>
      </c>
      <c r="D27" s="7">
        <v>38</v>
      </c>
      <c r="E27" s="7">
        <v>1</v>
      </c>
      <c r="F27" s="8">
        <v>12</v>
      </c>
      <c r="G27" s="7">
        <f>2/F27</f>
        <v>0.16666666666666666</v>
      </c>
      <c r="H27" s="6" t="s">
        <v>12</v>
      </c>
      <c r="I27" s="9" t="s">
        <v>31</v>
      </c>
      <c r="K27" s="20">
        <v>38961</v>
      </c>
    </row>
    <row r="28" spans="1:11" ht="12.75">
      <c r="A28" s="6" t="s">
        <v>9</v>
      </c>
      <c r="B28" s="6" t="s">
        <v>29</v>
      </c>
      <c r="C28" s="6" t="s">
        <v>23</v>
      </c>
      <c r="D28" s="7">
        <v>38</v>
      </c>
      <c r="E28" s="7">
        <v>1</v>
      </c>
      <c r="F28" s="8">
        <v>1</v>
      </c>
      <c r="G28" s="7">
        <f>1/F28</f>
        <v>1</v>
      </c>
      <c r="H28" s="6" t="s">
        <v>12</v>
      </c>
      <c r="I28" s="9" t="s">
        <v>31</v>
      </c>
      <c r="K28" s="20">
        <v>38961</v>
      </c>
    </row>
    <row r="29" spans="1:11" ht="12.75">
      <c r="A29" s="6" t="s">
        <v>9</v>
      </c>
      <c r="B29" s="6" t="s">
        <v>29</v>
      </c>
      <c r="C29" s="6" t="s">
        <v>46</v>
      </c>
      <c r="D29" s="7">
        <v>38</v>
      </c>
      <c r="E29" s="7">
        <v>1</v>
      </c>
      <c r="F29" s="8">
        <v>11</v>
      </c>
      <c r="G29" s="7">
        <f>8/F29</f>
        <v>0.7272727272727273</v>
      </c>
      <c r="H29" s="6" t="s">
        <v>12</v>
      </c>
      <c r="I29" s="9" t="s">
        <v>31</v>
      </c>
      <c r="K29" s="20">
        <v>38961</v>
      </c>
    </row>
    <row r="30" spans="1:11" ht="12.75">
      <c r="A30" s="6" t="s">
        <v>9</v>
      </c>
      <c r="B30" s="6" t="s">
        <v>29</v>
      </c>
      <c r="C30" s="6" t="s">
        <v>47</v>
      </c>
      <c r="D30" s="7">
        <v>38</v>
      </c>
      <c r="E30" s="7">
        <v>1</v>
      </c>
      <c r="F30" s="8">
        <v>8</v>
      </c>
      <c r="G30" s="7">
        <f>4/F30</f>
        <v>0.5</v>
      </c>
      <c r="H30" s="6" t="s">
        <v>12</v>
      </c>
      <c r="I30" s="9" t="s">
        <v>31</v>
      </c>
      <c r="K30" s="20">
        <v>38961</v>
      </c>
    </row>
    <row r="31" spans="1:11" ht="12.75">
      <c r="A31" s="6" t="s">
        <v>9</v>
      </c>
      <c r="B31" s="6" t="s">
        <v>29</v>
      </c>
      <c r="C31" s="6" t="s">
        <v>48</v>
      </c>
      <c r="D31" s="7">
        <v>38</v>
      </c>
      <c r="E31" s="7">
        <v>1</v>
      </c>
      <c r="F31" s="8">
        <v>1</v>
      </c>
      <c r="G31" s="7">
        <f>0/F31</f>
        <v>0</v>
      </c>
      <c r="H31" s="6" t="s">
        <v>12</v>
      </c>
      <c r="I31" s="9" t="s">
        <v>31</v>
      </c>
      <c r="K31" s="20">
        <v>38961</v>
      </c>
    </row>
    <row r="32" spans="1:11" ht="12.75">
      <c r="A32" s="6" t="s">
        <v>9</v>
      </c>
      <c r="B32" s="6" t="s">
        <v>29</v>
      </c>
      <c r="C32" s="6" t="s">
        <v>49</v>
      </c>
      <c r="D32" s="7">
        <v>38</v>
      </c>
      <c r="E32" s="7">
        <v>1</v>
      </c>
      <c r="F32" s="8">
        <v>11</v>
      </c>
      <c r="G32" s="7">
        <f>8/F32</f>
        <v>0.7272727272727273</v>
      </c>
      <c r="H32" s="6" t="s">
        <v>12</v>
      </c>
      <c r="I32" s="9" t="s">
        <v>31</v>
      </c>
      <c r="K32" s="20">
        <v>38961</v>
      </c>
    </row>
    <row r="33" spans="1:11" ht="12.75">
      <c r="A33" s="6" t="s">
        <v>9</v>
      </c>
      <c r="B33" s="6" t="s">
        <v>50</v>
      </c>
      <c r="C33" s="6" t="s">
        <v>51</v>
      </c>
      <c r="D33" s="7">
        <v>20.5</v>
      </c>
      <c r="E33" s="7">
        <v>-19.6</v>
      </c>
      <c r="F33" s="8">
        <v>40</v>
      </c>
      <c r="G33" s="7">
        <f>1/F33</f>
        <v>0.025</v>
      </c>
      <c r="H33" s="6" t="s">
        <v>12</v>
      </c>
      <c r="I33" s="9" t="s">
        <v>52</v>
      </c>
      <c r="K33" s="20">
        <v>38961</v>
      </c>
    </row>
    <row r="34" spans="1:11" ht="12.75">
      <c r="A34" s="6" t="s">
        <v>9</v>
      </c>
      <c r="B34" s="6" t="s">
        <v>50</v>
      </c>
      <c r="C34" s="6" t="s">
        <v>53</v>
      </c>
      <c r="D34" s="7">
        <v>13.7</v>
      </c>
      <c r="E34" s="7">
        <v>-18.3</v>
      </c>
      <c r="F34" s="10">
        <v>39</v>
      </c>
      <c r="G34" s="7">
        <f>1/39</f>
        <v>0.02564102564102564</v>
      </c>
      <c r="H34" s="10" t="s">
        <v>12</v>
      </c>
      <c r="I34" s="6" t="s">
        <v>54</v>
      </c>
      <c r="K34" s="20">
        <v>38961</v>
      </c>
    </row>
    <row r="35" spans="1:11" ht="12.75">
      <c r="A35" s="6" t="s">
        <v>9</v>
      </c>
      <c r="B35" s="6" t="s">
        <v>55</v>
      </c>
      <c r="C35" s="6" t="s">
        <v>56</v>
      </c>
      <c r="D35" s="7">
        <v>2.1166667</v>
      </c>
      <c r="E35" s="7">
        <v>13.5166667</v>
      </c>
      <c r="F35" s="8">
        <v>118</v>
      </c>
      <c r="G35" s="7">
        <f>103/F35</f>
        <v>0.8728813559322034</v>
      </c>
      <c r="H35" s="6" t="s">
        <v>16</v>
      </c>
      <c r="I35" s="6" t="s">
        <v>57</v>
      </c>
      <c r="K35" s="20">
        <v>38961</v>
      </c>
    </row>
    <row r="36" spans="1:11" ht="12.75">
      <c r="A36" s="6" t="s">
        <v>9</v>
      </c>
      <c r="B36" s="6" t="s">
        <v>58</v>
      </c>
      <c r="C36" s="6" t="s">
        <v>59</v>
      </c>
      <c r="D36" s="7">
        <v>3.4666667</v>
      </c>
      <c r="E36" s="7">
        <v>7.2333333</v>
      </c>
      <c r="F36" s="8">
        <v>15</v>
      </c>
      <c r="G36" s="7">
        <f>6/F36</f>
        <v>0.4</v>
      </c>
      <c r="H36" s="6" t="s">
        <v>12</v>
      </c>
      <c r="I36" s="9" t="s">
        <v>60</v>
      </c>
      <c r="K36" s="20">
        <v>38961</v>
      </c>
    </row>
    <row r="37" spans="1:11" ht="12.75">
      <c r="A37" s="6" t="s">
        <v>9</v>
      </c>
      <c r="B37" s="6" t="s">
        <v>58</v>
      </c>
      <c r="C37" s="6" t="s">
        <v>61</v>
      </c>
      <c r="D37" s="7">
        <v>3.4666667</v>
      </c>
      <c r="E37" s="7">
        <v>7.2333333</v>
      </c>
      <c r="F37" s="8">
        <v>11</v>
      </c>
      <c r="G37" s="7">
        <f>2/F37</f>
        <v>0.18181818181818182</v>
      </c>
      <c r="H37" s="6" t="s">
        <v>12</v>
      </c>
      <c r="I37" s="9" t="s">
        <v>60</v>
      </c>
      <c r="K37" s="20">
        <v>38961</v>
      </c>
    </row>
    <row r="38" spans="1:11" ht="12.75">
      <c r="A38" s="6" t="s">
        <v>9</v>
      </c>
      <c r="B38" s="6" t="s">
        <v>58</v>
      </c>
      <c r="C38" s="6" t="s">
        <v>62</v>
      </c>
      <c r="D38" s="7">
        <v>3.4666667</v>
      </c>
      <c r="E38" s="7">
        <v>7.2333333</v>
      </c>
      <c r="F38" s="8">
        <v>48</v>
      </c>
      <c r="G38" s="7">
        <f>8/F38</f>
        <v>0.16666666666666666</v>
      </c>
      <c r="H38" s="6" t="s">
        <v>12</v>
      </c>
      <c r="I38" s="9" t="s">
        <v>60</v>
      </c>
      <c r="K38" s="20">
        <v>38961</v>
      </c>
    </row>
    <row r="39" spans="1:11" ht="12.75">
      <c r="A39" s="6" t="s">
        <v>9</v>
      </c>
      <c r="B39" s="6" t="s">
        <v>63</v>
      </c>
      <c r="C39" s="6" t="s">
        <v>64</v>
      </c>
      <c r="D39" s="7">
        <v>29.7388889</v>
      </c>
      <c r="E39" s="7">
        <v>-2.5972222</v>
      </c>
      <c r="F39" s="8">
        <v>36</v>
      </c>
      <c r="G39" s="7">
        <f>21/F39</f>
        <v>0.5833333333333334</v>
      </c>
      <c r="H39" s="6" t="s">
        <v>65</v>
      </c>
      <c r="I39" s="6" t="s">
        <v>66</v>
      </c>
      <c r="K39" s="20">
        <v>38961</v>
      </c>
    </row>
    <row r="40" spans="1:11" ht="12.75">
      <c r="A40" s="6" t="s">
        <v>9</v>
      </c>
      <c r="B40" s="6" t="s">
        <v>63</v>
      </c>
      <c r="C40" s="6" t="s">
        <v>67</v>
      </c>
      <c r="D40" s="7">
        <v>29.7388889</v>
      </c>
      <c r="E40" s="7">
        <v>-2.5972222</v>
      </c>
      <c r="F40" s="8">
        <v>11</v>
      </c>
      <c r="G40" s="7">
        <f>5/F40</f>
        <v>0.45454545454545453</v>
      </c>
      <c r="H40" s="6" t="s">
        <v>65</v>
      </c>
      <c r="I40" s="6" t="s">
        <v>66</v>
      </c>
      <c r="K40" s="20">
        <v>38961</v>
      </c>
    </row>
    <row r="41" spans="1:11" ht="12.75">
      <c r="A41" s="6" t="s">
        <v>9</v>
      </c>
      <c r="B41" s="6" t="s">
        <v>63</v>
      </c>
      <c r="C41" s="6" t="s">
        <v>68</v>
      </c>
      <c r="D41" s="7">
        <v>29.7388889</v>
      </c>
      <c r="E41" s="7">
        <v>-2.5972222</v>
      </c>
      <c r="F41" s="8">
        <v>28</v>
      </c>
      <c r="G41" s="7">
        <f>1/F41</f>
        <v>0.03571428571428571</v>
      </c>
      <c r="H41" s="6" t="s">
        <v>65</v>
      </c>
      <c r="I41" s="6" t="s">
        <v>66</v>
      </c>
      <c r="K41" s="20">
        <v>38961</v>
      </c>
    </row>
    <row r="42" spans="1:11" ht="12.75">
      <c r="A42" s="6" t="s">
        <v>9</v>
      </c>
      <c r="B42" s="6" t="s">
        <v>63</v>
      </c>
      <c r="C42" s="6" t="s">
        <v>69</v>
      </c>
      <c r="D42" s="7">
        <v>29.7388889</v>
      </c>
      <c r="E42" s="7">
        <v>-2.5972222</v>
      </c>
      <c r="F42" s="8">
        <v>27</v>
      </c>
      <c r="G42" s="7">
        <f>25/F42</f>
        <v>0.9259259259259259</v>
      </c>
      <c r="H42" s="6" t="s">
        <v>65</v>
      </c>
      <c r="I42" s="6" t="s">
        <v>66</v>
      </c>
      <c r="K42" s="20">
        <v>38961</v>
      </c>
    </row>
    <row r="43" spans="1:11" ht="12.75">
      <c r="A43" s="6" t="s">
        <v>9</v>
      </c>
      <c r="B43" s="6" t="s">
        <v>70</v>
      </c>
      <c r="C43" s="6" t="s">
        <v>71</v>
      </c>
      <c r="D43" s="7">
        <v>-17.433</v>
      </c>
      <c r="E43" s="7">
        <v>14.667</v>
      </c>
      <c r="F43" s="8">
        <v>40</v>
      </c>
      <c r="G43" s="7">
        <f>1-0.275</f>
        <v>0.725</v>
      </c>
      <c r="H43" s="6" t="s">
        <v>12</v>
      </c>
      <c r="I43" s="6" t="s">
        <v>72</v>
      </c>
      <c r="K43" s="20">
        <v>38961</v>
      </c>
    </row>
    <row r="44" spans="1:11" ht="12.75">
      <c r="A44" s="6" t="s">
        <v>9</v>
      </c>
      <c r="B44" s="6" t="s">
        <v>70</v>
      </c>
      <c r="C44" s="6" t="s">
        <v>73</v>
      </c>
      <c r="D44" s="7">
        <v>-15.117</v>
      </c>
      <c r="E44" s="7">
        <v>15.4</v>
      </c>
      <c r="F44" s="8">
        <v>29</v>
      </c>
      <c r="G44" s="7">
        <f>1-0</f>
        <v>1</v>
      </c>
      <c r="H44" s="6" t="s">
        <v>12</v>
      </c>
      <c r="I44" s="6" t="s">
        <v>72</v>
      </c>
      <c r="K44" s="20">
        <v>38961</v>
      </c>
    </row>
    <row r="45" spans="1:11" ht="12.75">
      <c r="A45" s="6" t="s">
        <v>9</v>
      </c>
      <c r="B45" s="6" t="s">
        <v>70</v>
      </c>
      <c r="C45" s="6" t="s">
        <v>74</v>
      </c>
      <c r="D45" s="7">
        <v>-17.433</v>
      </c>
      <c r="E45" s="7">
        <v>14.667</v>
      </c>
      <c r="F45" s="8">
        <v>38</v>
      </c>
      <c r="G45" s="7">
        <f>1-0.2894</f>
        <v>0.7106</v>
      </c>
      <c r="H45" s="6" t="s">
        <v>12</v>
      </c>
      <c r="I45" s="6" t="s">
        <v>72</v>
      </c>
      <c r="K45" s="20">
        <v>38961</v>
      </c>
    </row>
    <row r="46" spans="1:11" ht="12.75">
      <c r="A46" s="6" t="s">
        <v>9</v>
      </c>
      <c r="B46" s="6" t="s">
        <v>70</v>
      </c>
      <c r="C46" s="6" t="s">
        <v>75</v>
      </c>
      <c r="D46" s="7">
        <v>-17.433</v>
      </c>
      <c r="E46" s="7">
        <v>14.667</v>
      </c>
      <c r="F46" s="8">
        <v>40</v>
      </c>
      <c r="G46" s="7">
        <f>1-0.1</f>
        <v>0.9</v>
      </c>
      <c r="H46" s="6" t="s">
        <v>12</v>
      </c>
      <c r="I46" s="6" t="s">
        <v>72</v>
      </c>
      <c r="K46" s="20">
        <v>38961</v>
      </c>
    </row>
    <row r="47" spans="1:11" ht="12.75">
      <c r="A47" s="6" t="s">
        <v>9</v>
      </c>
      <c r="B47" s="6" t="s">
        <v>70</v>
      </c>
      <c r="C47" s="6" t="s">
        <v>76</v>
      </c>
      <c r="D47" s="7">
        <v>-17.433</v>
      </c>
      <c r="E47" s="7">
        <v>14.667</v>
      </c>
      <c r="F47" s="8">
        <v>53</v>
      </c>
      <c r="G47" s="7">
        <f>1-0.4905</f>
        <v>0.5095000000000001</v>
      </c>
      <c r="H47" s="6" t="s">
        <v>12</v>
      </c>
      <c r="I47" s="6" t="s">
        <v>72</v>
      </c>
      <c r="K47" s="20">
        <v>38961</v>
      </c>
    </row>
    <row r="48" spans="1:11" ht="12.75">
      <c r="A48" s="6" t="s">
        <v>9</v>
      </c>
      <c r="B48" s="6" t="s">
        <v>77</v>
      </c>
      <c r="C48" s="6" t="s">
        <v>78</v>
      </c>
      <c r="D48" s="7">
        <v>28.083</v>
      </c>
      <c r="E48" s="7">
        <v>-26.2</v>
      </c>
      <c r="F48" s="8">
        <v>7</v>
      </c>
      <c r="G48" s="7">
        <f>1/F48</f>
        <v>0.14285714285714285</v>
      </c>
      <c r="H48" s="6" t="s">
        <v>16</v>
      </c>
      <c r="I48" s="9" t="s">
        <v>79</v>
      </c>
      <c r="K48" s="20">
        <v>38961</v>
      </c>
    </row>
    <row r="49" spans="1:11" ht="12.75">
      <c r="A49" s="6" t="s">
        <v>9</v>
      </c>
      <c r="B49" s="6" t="s">
        <v>77</v>
      </c>
      <c r="C49" s="6" t="s">
        <v>80</v>
      </c>
      <c r="D49" s="7">
        <v>28.083</v>
      </c>
      <c r="E49" s="7">
        <v>-26.2</v>
      </c>
      <c r="F49" s="8">
        <v>23</v>
      </c>
      <c r="G49" s="7">
        <f>8/F49</f>
        <v>0.34782608695652173</v>
      </c>
      <c r="H49" s="6" t="s">
        <v>16</v>
      </c>
      <c r="I49" s="9" t="s">
        <v>79</v>
      </c>
      <c r="K49" s="20">
        <v>38961</v>
      </c>
    </row>
    <row r="50" spans="1:11" ht="12.75">
      <c r="A50" s="6" t="s">
        <v>9</v>
      </c>
      <c r="B50" s="6" t="s">
        <v>77</v>
      </c>
      <c r="C50" s="6" t="s">
        <v>81</v>
      </c>
      <c r="D50" s="7">
        <v>28.083</v>
      </c>
      <c r="E50" s="7">
        <v>-26.2</v>
      </c>
      <c r="F50" s="8">
        <v>12</v>
      </c>
      <c r="G50" s="7">
        <f>3/F50</f>
        <v>0.25</v>
      </c>
      <c r="H50" s="6" t="s">
        <v>16</v>
      </c>
      <c r="I50" s="9" t="s">
        <v>79</v>
      </c>
      <c r="K50" s="20">
        <v>38961</v>
      </c>
    </row>
    <row r="51" spans="1:11" ht="12.75">
      <c r="A51" s="6" t="s">
        <v>9</v>
      </c>
      <c r="B51" s="6" t="s">
        <v>77</v>
      </c>
      <c r="C51" s="6" t="s">
        <v>82</v>
      </c>
      <c r="D51" s="7">
        <v>28.083</v>
      </c>
      <c r="E51" s="7">
        <v>-26.2</v>
      </c>
      <c r="F51" s="8">
        <v>24</v>
      </c>
      <c r="G51" s="7">
        <f>4/F51</f>
        <v>0.16666666666666666</v>
      </c>
      <c r="H51" s="6" t="s">
        <v>16</v>
      </c>
      <c r="I51" s="9" t="s">
        <v>79</v>
      </c>
      <c r="K51" s="20">
        <v>38961</v>
      </c>
    </row>
    <row r="52" spans="1:11" ht="12.75">
      <c r="A52" s="6" t="s">
        <v>9</v>
      </c>
      <c r="B52" s="6" t="s">
        <v>77</v>
      </c>
      <c r="C52" s="6" t="s">
        <v>83</v>
      </c>
      <c r="D52" s="7">
        <v>28.083</v>
      </c>
      <c r="E52" s="7">
        <v>-26.2</v>
      </c>
      <c r="F52" s="8">
        <v>17</v>
      </c>
      <c r="G52" s="7">
        <f>3/F52</f>
        <v>0.17647058823529413</v>
      </c>
      <c r="H52" s="6" t="s">
        <v>16</v>
      </c>
      <c r="I52" s="9" t="s">
        <v>79</v>
      </c>
      <c r="K52" s="20">
        <v>38961</v>
      </c>
    </row>
    <row r="53" spans="1:11" ht="12.75">
      <c r="A53" s="6" t="s">
        <v>9</v>
      </c>
      <c r="B53" s="6" t="s">
        <v>77</v>
      </c>
      <c r="C53" s="6" t="s">
        <v>84</v>
      </c>
      <c r="D53" s="7">
        <v>31.0166667</v>
      </c>
      <c r="E53" s="7">
        <v>-29.85</v>
      </c>
      <c r="F53" s="8">
        <v>47</v>
      </c>
      <c r="G53" s="7">
        <f>1-0.89</f>
        <v>0.10999999999999999</v>
      </c>
      <c r="H53" s="6" t="s">
        <v>12</v>
      </c>
      <c r="I53" s="9" t="s">
        <v>85</v>
      </c>
      <c r="K53" s="20">
        <v>38961</v>
      </c>
    </row>
    <row r="54" spans="1:11" ht="12.75">
      <c r="A54" s="6" t="s">
        <v>9</v>
      </c>
      <c r="B54" s="6" t="s">
        <v>77</v>
      </c>
      <c r="C54" s="6" t="s">
        <v>84</v>
      </c>
      <c r="D54" s="7">
        <v>28.083</v>
      </c>
      <c r="E54" s="7">
        <v>-26.2</v>
      </c>
      <c r="F54" s="8">
        <v>32</v>
      </c>
      <c r="G54" s="7">
        <f>6/F54</f>
        <v>0.1875</v>
      </c>
      <c r="H54" s="6" t="s">
        <v>16</v>
      </c>
      <c r="I54" s="9" t="s">
        <v>79</v>
      </c>
      <c r="K54" s="20">
        <v>38961</v>
      </c>
    </row>
    <row r="55" spans="1:13" ht="12.75">
      <c r="A55" s="6" t="s">
        <v>9</v>
      </c>
      <c r="B55" s="6" t="s">
        <v>86</v>
      </c>
      <c r="C55" s="6" t="s">
        <v>87</v>
      </c>
      <c r="D55" s="7">
        <v>30</v>
      </c>
      <c r="E55" s="7">
        <v>14</v>
      </c>
      <c r="F55" s="8">
        <v>2</v>
      </c>
      <c r="G55" s="7">
        <f>1/F55</f>
        <v>0.5</v>
      </c>
      <c r="H55" s="6" t="s">
        <v>12</v>
      </c>
      <c r="I55" s="9" t="s">
        <v>31</v>
      </c>
      <c r="K55" s="20">
        <v>38961</v>
      </c>
      <c r="M55" s="1" t="s">
        <v>25</v>
      </c>
    </row>
    <row r="56" spans="1:11" ht="12.75">
      <c r="A56" s="6" t="s">
        <v>9</v>
      </c>
      <c r="B56" s="6" t="s">
        <v>86</v>
      </c>
      <c r="C56" s="6" t="s">
        <v>88</v>
      </c>
      <c r="D56" s="7">
        <v>37.217</v>
      </c>
      <c r="E56" s="7">
        <v>19.615</v>
      </c>
      <c r="F56" s="8">
        <v>82</v>
      </c>
      <c r="G56" s="7">
        <f>71/F56</f>
        <v>0.8658536585365854</v>
      </c>
      <c r="H56" s="6" t="s">
        <v>16</v>
      </c>
      <c r="I56" s="6" t="s">
        <v>89</v>
      </c>
      <c r="K56" s="20">
        <v>38961</v>
      </c>
    </row>
    <row r="57" spans="1:11" ht="12.75">
      <c r="A57" s="6" t="s">
        <v>9</v>
      </c>
      <c r="B57" s="6" t="s">
        <v>86</v>
      </c>
      <c r="C57" s="6" t="s">
        <v>90</v>
      </c>
      <c r="D57" s="7">
        <v>37.217</v>
      </c>
      <c r="E57" s="7">
        <v>19.615</v>
      </c>
      <c r="F57" s="8">
        <v>22</v>
      </c>
      <c r="G57" s="7">
        <f>18/F57</f>
        <v>0.8181818181818182</v>
      </c>
      <c r="H57" s="6" t="s">
        <v>16</v>
      </c>
      <c r="I57" s="6" t="s">
        <v>89</v>
      </c>
      <c r="K57" s="20">
        <v>38961</v>
      </c>
    </row>
    <row r="58" spans="1:11" ht="12.75">
      <c r="A58" s="6" t="s">
        <v>9</v>
      </c>
      <c r="B58" s="6" t="s">
        <v>86</v>
      </c>
      <c r="C58" s="6" t="s">
        <v>91</v>
      </c>
      <c r="D58" s="7">
        <v>30.95</v>
      </c>
      <c r="E58" s="7">
        <v>18.05</v>
      </c>
      <c r="F58" s="8">
        <v>9</v>
      </c>
      <c r="G58" s="7">
        <f>1-0.111</f>
        <v>0.889</v>
      </c>
      <c r="H58" s="6" t="s">
        <v>16</v>
      </c>
      <c r="I58" s="6" t="s">
        <v>92</v>
      </c>
      <c r="K58" s="20">
        <v>38961</v>
      </c>
    </row>
    <row r="59" spans="1:11" ht="12.75">
      <c r="A59" s="6" t="s">
        <v>9</v>
      </c>
      <c r="B59" s="6" t="s">
        <v>86</v>
      </c>
      <c r="C59" s="6" t="s">
        <v>93</v>
      </c>
      <c r="D59" s="7">
        <v>30</v>
      </c>
      <c r="E59" s="7">
        <v>14</v>
      </c>
      <c r="F59" s="8">
        <v>6</v>
      </c>
      <c r="G59" s="7">
        <f>6/F59</f>
        <v>1</v>
      </c>
      <c r="H59" s="6" t="s">
        <v>12</v>
      </c>
      <c r="I59" s="9" t="s">
        <v>31</v>
      </c>
      <c r="K59" s="20">
        <v>38961</v>
      </c>
    </row>
    <row r="60" spans="1:11" ht="12.75">
      <c r="A60" s="6" t="s">
        <v>9</v>
      </c>
      <c r="B60" s="6" t="s">
        <v>86</v>
      </c>
      <c r="C60" s="6" t="s">
        <v>94</v>
      </c>
      <c r="D60" s="7">
        <v>30</v>
      </c>
      <c r="E60" s="7">
        <v>14</v>
      </c>
      <c r="F60" s="8">
        <v>11</v>
      </c>
      <c r="G60" s="7">
        <f>9/F60</f>
        <v>0.8181818181818182</v>
      </c>
      <c r="H60" s="6" t="s">
        <v>12</v>
      </c>
      <c r="I60" s="9" t="s">
        <v>31</v>
      </c>
      <c r="K60" s="20">
        <v>38961</v>
      </c>
    </row>
    <row r="61" spans="1:11" ht="12.75">
      <c r="A61" s="6" t="s">
        <v>9</v>
      </c>
      <c r="B61" s="6" t="s">
        <v>86</v>
      </c>
      <c r="C61" s="6" t="s">
        <v>95</v>
      </c>
      <c r="D61" s="7">
        <v>37.217</v>
      </c>
      <c r="E61" s="7">
        <v>19.615</v>
      </c>
      <c r="F61" s="8">
        <v>40</v>
      </c>
      <c r="G61" s="7">
        <f>35/F61</f>
        <v>0.875</v>
      </c>
      <c r="H61" s="6" t="s">
        <v>16</v>
      </c>
      <c r="I61" s="6" t="s">
        <v>89</v>
      </c>
      <c r="K61" s="20">
        <v>38961</v>
      </c>
    </row>
    <row r="62" spans="1:11" ht="12.75">
      <c r="A62" s="6" t="s">
        <v>9</v>
      </c>
      <c r="B62" s="6" t="s">
        <v>86</v>
      </c>
      <c r="C62" s="6" t="s">
        <v>96</v>
      </c>
      <c r="D62" s="7">
        <v>37.217</v>
      </c>
      <c r="E62" s="7">
        <v>19.615</v>
      </c>
      <c r="F62" s="8">
        <v>22</v>
      </c>
      <c r="G62" s="7">
        <v>0.864</v>
      </c>
      <c r="H62" s="6" t="s">
        <v>16</v>
      </c>
      <c r="I62" s="6" t="s">
        <v>89</v>
      </c>
      <c r="K62" s="20">
        <v>38961</v>
      </c>
    </row>
    <row r="63" spans="1:11" ht="12.75">
      <c r="A63" s="6" t="s">
        <v>9</v>
      </c>
      <c r="B63" s="6" t="s">
        <v>86</v>
      </c>
      <c r="C63" s="6" t="s">
        <v>97</v>
      </c>
      <c r="D63" s="7">
        <v>33.6333333</v>
      </c>
      <c r="E63" s="7">
        <v>7.6666667</v>
      </c>
      <c r="F63" s="8">
        <v>208</v>
      </c>
      <c r="G63" s="7">
        <f>52/F63</f>
        <v>0.25</v>
      </c>
      <c r="H63" s="6" t="s">
        <v>16</v>
      </c>
      <c r="I63" s="6" t="s">
        <v>89</v>
      </c>
      <c r="K63" s="20">
        <v>38961</v>
      </c>
    </row>
    <row r="64" spans="1:13" ht="12.75">
      <c r="A64" s="6" t="s">
        <v>9</v>
      </c>
      <c r="B64" s="6" t="s">
        <v>86</v>
      </c>
      <c r="C64" s="6" t="s">
        <v>97</v>
      </c>
      <c r="D64" s="7">
        <v>30</v>
      </c>
      <c r="E64" s="7">
        <v>14</v>
      </c>
      <c r="F64" s="8">
        <v>7</v>
      </c>
      <c r="G64" s="7">
        <f>6/F64</f>
        <v>0.8571428571428571</v>
      </c>
      <c r="H64" s="6" t="s">
        <v>12</v>
      </c>
      <c r="I64" s="9" t="s">
        <v>31</v>
      </c>
      <c r="K64" s="20">
        <v>38961</v>
      </c>
      <c r="M64" s="1" t="s">
        <v>25</v>
      </c>
    </row>
    <row r="65" spans="1:11" ht="12.75">
      <c r="A65" s="6" t="s">
        <v>9</v>
      </c>
      <c r="B65" s="6" t="s">
        <v>86</v>
      </c>
      <c r="C65" s="6" t="s">
        <v>98</v>
      </c>
      <c r="D65" s="7">
        <v>30.95</v>
      </c>
      <c r="E65" s="7">
        <v>18.05</v>
      </c>
      <c r="F65" s="8">
        <v>16</v>
      </c>
      <c r="G65" s="7">
        <f>1-0.813</f>
        <v>0.18700000000000006</v>
      </c>
      <c r="H65" s="6" t="s">
        <v>16</v>
      </c>
      <c r="I65" s="6" t="s">
        <v>92</v>
      </c>
      <c r="K65" s="20">
        <v>38961</v>
      </c>
    </row>
    <row r="66" spans="1:11" ht="12.75">
      <c r="A66" s="6" t="s">
        <v>9</v>
      </c>
      <c r="B66" s="6" t="s">
        <v>86</v>
      </c>
      <c r="C66" s="6" t="s">
        <v>99</v>
      </c>
      <c r="D66" s="7">
        <v>30.95</v>
      </c>
      <c r="E66" s="7">
        <v>18.05</v>
      </c>
      <c r="F66" s="8">
        <v>31</v>
      </c>
      <c r="G66" s="7">
        <f>1-0.323</f>
        <v>0.677</v>
      </c>
      <c r="H66" s="6" t="s">
        <v>16</v>
      </c>
      <c r="I66" s="6" t="s">
        <v>92</v>
      </c>
      <c r="K66" s="20">
        <v>38961</v>
      </c>
    </row>
    <row r="67" spans="1:11" ht="12.75">
      <c r="A67" s="6" t="s">
        <v>9</v>
      </c>
      <c r="B67" s="6" t="s">
        <v>86</v>
      </c>
      <c r="C67" s="6" t="s">
        <v>100</v>
      </c>
      <c r="D67" s="7">
        <v>30.35</v>
      </c>
      <c r="E67" s="7">
        <v>13.083</v>
      </c>
      <c r="F67" s="8">
        <v>19</v>
      </c>
      <c r="G67" s="7">
        <f>1-0.526</f>
        <v>0.474</v>
      </c>
      <c r="H67" s="6" t="s">
        <v>16</v>
      </c>
      <c r="I67" s="6" t="s">
        <v>92</v>
      </c>
      <c r="K67" s="20">
        <v>38961</v>
      </c>
    </row>
    <row r="68" spans="1:11" ht="12.75">
      <c r="A68" s="6" t="s">
        <v>9</v>
      </c>
      <c r="B68" s="6" t="s">
        <v>86</v>
      </c>
      <c r="C68" s="6" t="s">
        <v>101</v>
      </c>
      <c r="D68" s="7">
        <v>37.217</v>
      </c>
      <c r="E68" s="7">
        <v>19.615</v>
      </c>
      <c r="F68" s="8">
        <v>137</v>
      </c>
      <c r="G68" s="7">
        <f>109/F68</f>
        <v>0.7956204379562044</v>
      </c>
      <c r="H68" s="6" t="s">
        <v>16</v>
      </c>
      <c r="I68" s="6" t="s">
        <v>89</v>
      </c>
      <c r="K68" s="20">
        <v>38961</v>
      </c>
    </row>
    <row r="69" spans="1:11" ht="12.75">
      <c r="A69" s="6" t="s">
        <v>9</v>
      </c>
      <c r="B69" s="6" t="s">
        <v>86</v>
      </c>
      <c r="C69" s="6" t="s">
        <v>102</v>
      </c>
      <c r="D69" s="7">
        <v>32.534</v>
      </c>
      <c r="E69" s="7">
        <v>15.588</v>
      </c>
      <c r="F69" s="8">
        <v>113</v>
      </c>
      <c r="G69" s="7">
        <f>1-0.469</f>
        <v>0.531</v>
      </c>
      <c r="H69" s="6" t="s">
        <v>16</v>
      </c>
      <c r="I69" s="6" t="s">
        <v>92</v>
      </c>
      <c r="K69" s="20">
        <v>38961</v>
      </c>
    </row>
    <row r="70" spans="1:11" ht="12.75">
      <c r="A70" s="6" t="s">
        <v>9</v>
      </c>
      <c r="B70" s="6" t="s">
        <v>86</v>
      </c>
      <c r="C70" s="6" t="s">
        <v>102</v>
      </c>
      <c r="D70" s="7">
        <v>33.4341667</v>
      </c>
      <c r="E70" s="7">
        <v>16.6913889</v>
      </c>
      <c r="F70" s="8">
        <v>94</v>
      </c>
      <c r="G70" s="7">
        <f>45/F70</f>
        <v>0.4787234042553192</v>
      </c>
      <c r="H70" s="6" t="s">
        <v>16</v>
      </c>
      <c r="I70" s="9" t="s">
        <v>103</v>
      </c>
      <c r="K70" s="20">
        <v>38961</v>
      </c>
    </row>
    <row r="71" spans="1:11" ht="12.75">
      <c r="A71" s="6" t="s">
        <v>9</v>
      </c>
      <c r="B71" s="6" t="s">
        <v>86</v>
      </c>
      <c r="C71" s="6" t="s">
        <v>104</v>
      </c>
      <c r="D71" s="7">
        <v>30.95</v>
      </c>
      <c r="E71" s="7">
        <v>18.05</v>
      </c>
      <c r="F71" s="8">
        <v>21</v>
      </c>
      <c r="G71" s="7">
        <f>1-0.381</f>
        <v>0.619</v>
      </c>
      <c r="H71" s="6" t="s">
        <v>16</v>
      </c>
      <c r="I71" s="6" t="s">
        <v>92</v>
      </c>
      <c r="K71" s="20">
        <v>38961</v>
      </c>
    </row>
    <row r="72" spans="1:11" ht="13.5" customHeight="1">
      <c r="A72" s="6" t="s">
        <v>9</v>
      </c>
      <c r="B72" s="6" t="s">
        <v>86</v>
      </c>
      <c r="C72" s="6" t="s">
        <v>105</v>
      </c>
      <c r="D72" s="7">
        <v>30</v>
      </c>
      <c r="E72" s="7">
        <v>14</v>
      </c>
      <c r="F72" s="8">
        <v>1</v>
      </c>
      <c r="G72" s="7">
        <f>1/F72</f>
        <v>1</v>
      </c>
      <c r="H72" s="6" t="s">
        <v>12</v>
      </c>
      <c r="I72" s="9" t="s">
        <v>31</v>
      </c>
      <c r="K72" s="20">
        <v>38961</v>
      </c>
    </row>
    <row r="73" spans="1:11" ht="12.75">
      <c r="A73" s="6" t="s">
        <v>9</v>
      </c>
      <c r="B73" s="6" t="s">
        <v>86</v>
      </c>
      <c r="C73" s="6" t="s">
        <v>106</v>
      </c>
      <c r="D73" s="7">
        <v>30</v>
      </c>
      <c r="E73" s="7">
        <v>14</v>
      </c>
      <c r="F73" s="8">
        <v>1</v>
      </c>
      <c r="G73" s="7">
        <f>0/F73</f>
        <v>0</v>
      </c>
      <c r="H73" s="6" t="s">
        <v>12</v>
      </c>
      <c r="I73" s="9" t="s">
        <v>31</v>
      </c>
      <c r="K73" s="20">
        <v>38961</v>
      </c>
    </row>
    <row r="74" spans="1:11" ht="12.75">
      <c r="A74" s="6" t="s">
        <v>9</v>
      </c>
      <c r="B74" s="6" t="s">
        <v>86</v>
      </c>
      <c r="C74" s="6" t="s">
        <v>107</v>
      </c>
      <c r="D74" s="7">
        <v>30</v>
      </c>
      <c r="E74" s="7">
        <v>14</v>
      </c>
      <c r="F74" s="8">
        <v>1</v>
      </c>
      <c r="G74" s="7">
        <f>1/F74</f>
        <v>1</v>
      </c>
      <c r="H74" s="6" t="s">
        <v>12</v>
      </c>
      <c r="I74" s="9" t="s">
        <v>31</v>
      </c>
      <c r="K74" s="20">
        <v>38961</v>
      </c>
    </row>
    <row r="75" spans="1:11" ht="12.75">
      <c r="A75" s="6" t="s">
        <v>9</v>
      </c>
      <c r="B75" s="6" t="s">
        <v>86</v>
      </c>
      <c r="C75" s="6" t="s">
        <v>108</v>
      </c>
      <c r="D75" s="7">
        <v>30.35</v>
      </c>
      <c r="E75" s="7">
        <v>13.083</v>
      </c>
      <c r="F75" s="8">
        <v>20</v>
      </c>
      <c r="G75" s="7">
        <f>1-0.6</f>
        <v>0.4</v>
      </c>
      <c r="H75" s="6" t="s">
        <v>16</v>
      </c>
      <c r="I75" s="6" t="s">
        <v>92</v>
      </c>
      <c r="K75" s="20">
        <v>38961</v>
      </c>
    </row>
    <row r="76" spans="1:11" ht="12.75">
      <c r="A76" s="6" t="s">
        <v>9</v>
      </c>
      <c r="B76" s="6" t="s">
        <v>86</v>
      </c>
      <c r="C76" s="6" t="s">
        <v>109</v>
      </c>
      <c r="D76" s="7">
        <v>27.667</v>
      </c>
      <c r="E76" s="7">
        <v>7.767</v>
      </c>
      <c r="F76" s="8">
        <v>18</v>
      </c>
      <c r="G76" s="7">
        <f>1-0.667</f>
        <v>0.33299999999999996</v>
      </c>
      <c r="H76" s="6" t="s">
        <v>16</v>
      </c>
      <c r="I76" s="6" t="s">
        <v>92</v>
      </c>
      <c r="K76" s="20">
        <v>38961</v>
      </c>
    </row>
    <row r="77" spans="1:11" ht="12.75">
      <c r="A77" s="6" t="s">
        <v>9</v>
      </c>
      <c r="B77" s="6" t="s">
        <v>86</v>
      </c>
      <c r="C77" s="6" t="s">
        <v>110</v>
      </c>
      <c r="D77" s="7">
        <v>29.683</v>
      </c>
      <c r="E77" s="7">
        <v>6.8</v>
      </c>
      <c r="F77" s="8">
        <v>58</v>
      </c>
      <c r="G77" s="7">
        <f>1-0.793</f>
        <v>0.20699999999999996</v>
      </c>
      <c r="H77" s="6" t="s">
        <v>16</v>
      </c>
      <c r="I77" s="6" t="s">
        <v>92</v>
      </c>
      <c r="K77" s="20">
        <v>38961</v>
      </c>
    </row>
    <row r="78" spans="1:11" ht="12.75">
      <c r="A78" s="6" t="s">
        <v>9</v>
      </c>
      <c r="B78" s="6" t="s">
        <v>86</v>
      </c>
      <c r="C78" s="6" t="s">
        <v>111</v>
      </c>
      <c r="D78" s="7">
        <v>30.95</v>
      </c>
      <c r="E78" s="7">
        <v>18.05</v>
      </c>
      <c r="F78" s="8">
        <v>21</v>
      </c>
      <c r="G78" s="7">
        <v>0.33299999999999996</v>
      </c>
      <c r="H78" s="6" t="s">
        <v>16</v>
      </c>
      <c r="I78" s="6" t="s">
        <v>92</v>
      </c>
      <c r="K78" s="20">
        <v>38961</v>
      </c>
    </row>
    <row r="79" spans="1:11" ht="12.75">
      <c r="A79" s="6" t="s">
        <v>9</v>
      </c>
      <c r="B79" s="6" t="s">
        <v>86</v>
      </c>
      <c r="C79" s="6" t="s">
        <v>112</v>
      </c>
      <c r="D79" s="7">
        <v>33.6333333</v>
      </c>
      <c r="E79" s="7">
        <v>7.6666667</v>
      </c>
      <c r="F79" s="8">
        <v>23</v>
      </c>
      <c r="G79" s="7">
        <f>5/F79</f>
        <v>0.21739130434782608</v>
      </c>
      <c r="H79" s="6" t="s">
        <v>16</v>
      </c>
      <c r="I79" s="6" t="s">
        <v>89</v>
      </c>
      <c r="K79" s="20">
        <v>38961</v>
      </c>
    </row>
    <row r="80" spans="1:11" ht="12.75">
      <c r="A80" s="6" t="s">
        <v>9</v>
      </c>
      <c r="B80" s="6" t="s">
        <v>86</v>
      </c>
      <c r="C80" s="6" t="s">
        <v>112</v>
      </c>
      <c r="D80" s="7">
        <v>30</v>
      </c>
      <c r="E80" s="7">
        <v>14</v>
      </c>
      <c r="F80" s="8">
        <v>2</v>
      </c>
      <c r="G80" s="7">
        <f>2/F80</f>
        <v>1</v>
      </c>
      <c r="H80" s="6" t="s">
        <v>12</v>
      </c>
      <c r="I80" s="9" t="s">
        <v>31</v>
      </c>
      <c r="K80" s="20">
        <v>38961</v>
      </c>
    </row>
    <row r="81" spans="1:11" ht="12.75">
      <c r="A81" s="6" t="s">
        <v>9</v>
      </c>
      <c r="B81" s="6" t="s">
        <v>86</v>
      </c>
      <c r="C81" s="6" t="s">
        <v>113</v>
      </c>
      <c r="D81" s="7">
        <v>30.95</v>
      </c>
      <c r="E81" s="7">
        <v>18.05</v>
      </c>
      <c r="F81" s="8">
        <v>42</v>
      </c>
      <c r="G81" s="7">
        <f>1-0.619</f>
        <v>0.381</v>
      </c>
      <c r="H81" s="6" t="s">
        <v>16</v>
      </c>
      <c r="I81" s="6" t="s">
        <v>92</v>
      </c>
      <c r="K81" s="20">
        <v>38961</v>
      </c>
    </row>
    <row r="82" spans="1:14" ht="12.75">
      <c r="A82" s="6" t="s">
        <v>9</v>
      </c>
      <c r="B82" s="6" t="s">
        <v>86</v>
      </c>
      <c r="C82" s="6" t="s">
        <v>114</v>
      </c>
      <c r="D82" s="7">
        <v>33.6333333</v>
      </c>
      <c r="E82" s="7">
        <v>7.6666667</v>
      </c>
      <c r="F82" s="8">
        <v>8</v>
      </c>
      <c r="G82" s="7">
        <f>3/F82</f>
        <v>0.375</v>
      </c>
      <c r="H82" s="6" t="s">
        <v>16</v>
      </c>
      <c r="I82" s="6" t="s">
        <v>89</v>
      </c>
      <c r="K82" s="20">
        <v>38961</v>
      </c>
      <c r="N82" t="s">
        <v>25</v>
      </c>
    </row>
    <row r="83" spans="1:11" ht="12.75">
      <c r="A83" s="6" t="s">
        <v>9</v>
      </c>
      <c r="B83" s="6" t="s">
        <v>86</v>
      </c>
      <c r="C83" s="6" t="s">
        <v>115</v>
      </c>
      <c r="D83" s="7">
        <v>30</v>
      </c>
      <c r="E83" s="7">
        <v>14</v>
      </c>
      <c r="F83" s="8">
        <v>4</v>
      </c>
      <c r="G83" s="7">
        <f>3/F83</f>
        <v>0.75</v>
      </c>
      <c r="H83" s="6" t="s">
        <v>12</v>
      </c>
      <c r="I83" s="9" t="s">
        <v>31</v>
      </c>
      <c r="K83" s="20">
        <v>38961</v>
      </c>
    </row>
    <row r="84" spans="1:11" ht="12.75">
      <c r="A84" s="6" t="s">
        <v>9</v>
      </c>
      <c r="B84" s="6" t="s">
        <v>116</v>
      </c>
      <c r="C84" s="6" t="s">
        <v>117</v>
      </c>
      <c r="D84" s="7">
        <v>34</v>
      </c>
      <c r="E84" s="7">
        <v>-7</v>
      </c>
      <c r="F84" s="8">
        <v>11</v>
      </c>
      <c r="G84" s="7">
        <f>6/F84</f>
        <v>0.5454545454545454</v>
      </c>
      <c r="H84" s="6" t="s">
        <v>12</v>
      </c>
      <c r="I84" s="9" t="s">
        <v>31</v>
      </c>
      <c r="K84" s="20">
        <v>38961</v>
      </c>
    </row>
    <row r="85" spans="1:11" ht="12.75">
      <c r="A85" s="6" t="s">
        <v>9</v>
      </c>
      <c r="B85" s="6" t="s">
        <v>116</v>
      </c>
      <c r="C85" s="6" t="s">
        <v>118</v>
      </c>
      <c r="D85" s="7">
        <v>34</v>
      </c>
      <c r="E85" s="7">
        <v>-7</v>
      </c>
      <c r="F85" s="8">
        <v>16</v>
      </c>
      <c r="G85" s="7">
        <f>6/F85</f>
        <v>0.375</v>
      </c>
      <c r="H85" s="6" t="s">
        <v>12</v>
      </c>
      <c r="I85" s="9" t="s">
        <v>31</v>
      </c>
      <c r="K85" s="20">
        <v>38961</v>
      </c>
    </row>
    <row r="86" spans="1:11" ht="12.75">
      <c r="A86" s="6" t="s">
        <v>9</v>
      </c>
      <c r="B86" s="6" t="s">
        <v>116</v>
      </c>
      <c r="C86" s="6" t="s">
        <v>119</v>
      </c>
      <c r="D86" s="7">
        <v>34</v>
      </c>
      <c r="E86" s="7">
        <v>-7</v>
      </c>
      <c r="F86" s="8">
        <v>1</v>
      </c>
      <c r="G86" s="7">
        <f>0/F86</f>
        <v>0</v>
      </c>
      <c r="H86" s="6" t="s">
        <v>12</v>
      </c>
      <c r="I86" s="9" t="s">
        <v>31</v>
      </c>
      <c r="K86" s="20">
        <v>38961</v>
      </c>
    </row>
    <row r="87" spans="1:11" ht="12.75">
      <c r="A87" s="6" t="s">
        <v>9</v>
      </c>
      <c r="B87" s="6" t="s">
        <v>116</v>
      </c>
      <c r="C87" s="6" t="s">
        <v>120</v>
      </c>
      <c r="D87" s="7">
        <v>34</v>
      </c>
      <c r="E87" s="7">
        <v>-7</v>
      </c>
      <c r="F87" s="8">
        <v>6</v>
      </c>
      <c r="G87" s="7">
        <f>4/F87</f>
        <v>0.6666666666666666</v>
      </c>
      <c r="H87" s="6" t="s">
        <v>12</v>
      </c>
      <c r="I87" s="9" t="s">
        <v>31</v>
      </c>
      <c r="K87" s="20">
        <v>38961</v>
      </c>
    </row>
    <row r="88" spans="1:11" ht="12.75">
      <c r="A88" s="6" t="s">
        <v>9</v>
      </c>
      <c r="B88" s="6" t="s">
        <v>116</v>
      </c>
      <c r="C88" s="6" t="s">
        <v>121</v>
      </c>
      <c r="D88" s="7">
        <v>34</v>
      </c>
      <c r="E88" s="7">
        <v>-7</v>
      </c>
      <c r="F88" s="8">
        <v>7</v>
      </c>
      <c r="G88" s="7">
        <f>1/F88</f>
        <v>0.14285714285714285</v>
      </c>
      <c r="H88" s="6" t="s">
        <v>12</v>
      </c>
      <c r="I88" s="9" t="s">
        <v>31</v>
      </c>
      <c r="K88" s="20">
        <v>38961</v>
      </c>
    </row>
    <row r="89" spans="1:11" ht="12.75">
      <c r="A89" s="6" t="s">
        <v>9</v>
      </c>
      <c r="B89" s="6" t="s">
        <v>116</v>
      </c>
      <c r="C89" s="6" t="s">
        <v>122</v>
      </c>
      <c r="D89" s="7">
        <v>34</v>
      </c>
      <c r="E89" s="7">
        <v>-7</v>
      </c>
      <c r="F89" s="8">
        <v>15</v>
      </c>
      <c r="G89" s="7">
        <f>9/F89</f>
        <v>0.6</v>
      </c>
      <c r="H89" s="6" t="s">
        <v>12</v>
      </c>
      <c r="I89" s="9" t="s">
        <v>31</v>
      </c>
      <c r="K89" s="20">
        <v>38961</v>
      </c>
    </row>
    <row r="90" spans="1:11" ht="12.75">
      <c r="A90" s="6" t="s">
        <v>9</v>
      </c>
      <c r="B90" s="6" t="s">
        <v>116</v>
      </c>
      <c r="C90" s="6" t="s">
        <v>123</v>
      </c>
      <c r="D90" s="7">
        <v>34</v>
      </c>
      <c r="E90" s="7">
        <v>-7</v>
      </c>
      <c r="F90" s="8">
        <v>19</v>
      </c>
      <c r="G90" s="7">
        <f>18/F90</f>
        <v>0.9473684210526315</v>
      </c>
      <c r="H90" s="6" t="s">
        <v>12</v>
      </c>
      <c r="I90" s="9" t="s">
        <v>31</v>
      </c>
      <c r="K90" s="20">
        <v>38961</v>
      </c>
    </row>
    <row r="91" spans="1:11" ht="12.75">
      <c r="A91" s="6" t="s">
        <v>9</v>
      </c>
      <c r="B91" s="6" t="s">
        <v>116</v>
      </c>
      <c r="C91" s="6" t="s">
        <v>37</v>
      </c>
      <c r="D91" s="7">
        <v>34</v>
      </c>
      <c r="E91" s="7">
        <v>-7</v>
      </c>
      <c r="F91" s="8">
        <v>15</v>
      </c>
      <c r="G91" s="7">
        <f>10/F91</f>
        <v>0.6666666666666666</v>
      </c>
      <c r="H91" s="6" t="s">
        <v>12</v>
      </c>
      <c r="I91" s="9" t="s">
        <v>31</v>
      </c>
      <c r="K91" s="20">
        <v>38961</v>
      </c>
    </row>
    <row r="92" spans="1:11" ht="12.75">
      <c r="A92" s="6" t="s">
        <v>9</v>
      </c>
      <c r="B92" s="6" t="s">
        <v>116</v>
      </c>
      <c r="C92" s="6" t="s">
        <v>124</v>
      </c>
      <c r="D92" s="7">
        <v>34</v>
      </c>
      <c r="E92" s="7">
        <v>-7</v>
      </c>
      <c r="F92" s="8">
        <v>23</v>
      </c>
      <c r="G92" s="7">
        <f>10/F92</f>
        <v>0.43478260869565216</v>
      </c>
      <c r="H92" s="6" t="s">
        <v>12</v>
      </c>
      <c r="I92" s="9" t="s">
        <v>31</v>
      </c>
      <c r="K92" s="20">
        <v>38961</v>
      </c>
    </row>
    <row r="93" spans="1:11" ht="12.75">
      <c r="A93" s="6" t="s">
        <v>9</v>
      </c>
      <c r="B93" s="6" t="s">
        <v>116</v>
      </c>
      <c r="C93" s="6" t="s">
        <v>125</v>
      </c>
      <c r="D93" s="7">
        <v>34</v>
      </c>
      <c r="E93" s="7">
        <v>-7</v>
      </c>
      <c r="F93" s="8">
        <v>8</v>
      </c>
      <c r="G93" s="7">
        <f>4/F93</f>
        <v>0.5</v>
      </c>
      <c r="H93" s="6" t="s">
        <v>12</v>
      </c>
      <c r="I93" s="9" t="s">
        <v>31</v>
      </c>
      <c r="K93" s="20">
        <v>38961</v>
      </c>
    </row>
    <row r="94" spans="1:11" ht="12.75">
      <c r="A94" s="6" t="s">
        <v>9</v>
      </c>
      <c r="B94" s="6" t="s">
        <v>116</v>
      </c>
      <c r="C94" s="6" t="s">
        <v>126</v>
      </c>
      <c r="D94" s="7">
        <v>34</v>
      </c>
      <c r="E94" s="7">
        <v>-7</v>
      </c>
      <c r="F94" s="8">
        <v>8</v>
      </c>
      <c r="G94" s="7">
        <f>6/F94</f>
        <v>0.75</v>
      </c>
      <c r="H94" s="6" t="s">
        <v>12</v>
      </c>
      <c r="I94" s="9" t="s">
        <v>31</v>
      </c>
      <c r="K94" s="20">
        <v>38961</v>
      </c>
    </row>
    <row r="95" spans="1:11" ht="12.75">
      <c r="A95" s="6" t="s">
        <v>9</v>
      </c>
      <c r="B95" s="6" t="s">
        <v>116</v>
      </c>
      <c r="C95" s="6" t="s">
        <v>127</v>
      </c>
      <c r="D95" s="7">
        <v>34</v>
      </c>
      <c r="E95" s="7">
        <v>-7</v>
      </c>
      <c r="F95" s="8">
        <v>26</v>
      </c>
      <c r="G95" s="7">
        <f>17/F95</f>
        <v>0.6538461538461539</v>
      </c>
      <c r="H95" s="6" t="s">
        <v>12</v>
      </c>
      <c r="I95" s="9" t="s">
        <v>31</v>
      </c>
      <c r="K95" s="20">
        <v>38961</v>
      </c>
    </row>
    <row r="96" spans="1:11" ht="12.75">
      <c r="A96" s="6" t="s">
        <v>9</v>
      </c>
      <c r="B96" s="6" t="s">
        <v>116</v>
      </c>
      <c r="C96" s="6" t="s">
        <v>128</v>
      </c>
      <c r="D96" s="7">
        <v>34</v>
      </c>
      <c r="E96" s="7">
        <v>-7</v>
      </c>
      <c r="F96" s="8">
        <v>2</v>
      </c>
      <c r="G96" s="7">
        <f>0/F96</f>
        <v>0</v>
      </c>
      <c r="H96" s="6" t="s">
        <v>12</v>
      </c>
      <c r="I96" s="9" t="s">
        <v>31</v>
      </c>
      <c r="K96" s="20">
        <v>38961</v>
      </c>
    </row>
    <row r="97" spans="1:11" ht="12.75">
      <c r="A97" s="6" t="s">
        <v>9</v>
      </c>
      <c r="B97" s="6" t="s">
        <v>116</v>
      </c>
      <c r="C97" s="6" t="s">
        <v>129</v>
      </c>
      <c r="D97" s="7">
        <v>34</v>
      </c>
      <c r="E97" s="7">
        <v>-7</v>
      </c>
      <c r="F97" s="8">
        <v>23</v>
      </c>
      <c r="G97" s="7">
        <f>8/F97</f>
        <v>0.34782608695652173</v>
      </c>
      <c r="H97" s="6" t="s">
        <v>12</v>
      </c>
      <c r="I97" s="9" t="s">
        <v>31</v>
      </c>
      <c r="K97" s="20">
        <v>38961</v>
      </c>
    </row>
    <row r="98" spans="1:11" ht="12.75">
      <c r="A98" s="6" t="s">
        <v>9</v>
      </c>
      <c r="B98" s="6" t="s">
        <v>130</v>
      </c>
      <c r="C98" s="6" t="s">
        <v>131</v>
      </c>
      <c r="D98" s="7">
        <v>10.18</v>
      </c>
      <c r="E98" s="7">
        <v>36.803</v>
      </c>
      <c r="F98" s="8">
        <v>43</v>
      </c>
      <c r="G98" s="7">
        <f>7/43</f>
        <v>0.16279069767441862</v>
      </c>
      <c r="H98" s="6" t="s">
        <v>16</v>
      </c>
      <c r="I98" s="6" t="s">
        <v>132</v>
      </c>
      <c r="K98" s="20">
        <v>38961</v>
      </c>
    </row>
    <row r="99" spans="1:11" ht="12.75">
      <c r="A99" s="6" t="s">
        <v>9</v>
      </c>
      <c r="B99" s="6" t="s">
        <v>133</v>
      </c>
      <c r="C99" s="6" t="s">
        <v>134</v>
      </c>
      <c r="D99" s="7">
        <v>32.5655556</v>
      </c>
      <c r="E99" s="7">
        <v>0.3155556</v>
      </c>
      <c r="F99" s="6">
        <v>12</v>
      </c>
      <c r="G99" s="7">
        <v>0</v>
      </c>
      <c r="H99" s="6" t="s">
        <v>12</v>
      </c>
      <c r="I99" s="6" t="s">
        <v>135</v>
      </c>
      <c r="K99" s="20">
        <v>38961</v>
      </c>
    </row>
    <row r="100" spans="1:11" ht="12.75">
      <c r="A100" s="6" t="s">
        <v>9</v>
      </c>
      <c r="B100" s="6" t="s">
        <v>133</v>
      </c>
      <c r="C100" s="6" t="s">
        <v>136</v>
      </c>
      <c r="D100" s="7">
        <v>32.5655556</v>
      </c>
      <c r="E100" s="7">
        <v>0.3155556</v>
      </c>
      <c r="F100" s="6">
        <v>5</v>
      </c>
      <c r="G100" s="7">
        <v>1</v>
      </c>
      <c r="H100" s="6" t="s">
        <v>12</v>
      </c>
      <c r="I100" s="6" t="s">
        <v>137</v>
      </c>
      <c r="K100" s="20">
        <v>38961</v>
      </c>
    </row>
    <row r="101" spans="1:11" ht="12.75">
      <c r="A101" s="6" t="s">
        <v>9</v>
      </c>
      <c r="B101" s="6" t="s">
        <v>133</v>
      </c>
      <c r="C101" s="6" t="s">
        <v>109</v>
      </c>
      <c r="D101" s="7">
        <v>32.5655556</v>
      </c>
      <c r="E101" s="7">
        <v>0.3155556</v>
      </c>
      <c r="F101" s="6">
        <v>9</v>
      </c>
      <c r="G101" s="7">
        <f>5/F101</f>
        <v>0.5555555555555556</v>
      </c>
      <c r="H101" s="6" t="s">
        <v>12</v>
      </c>
      <c r="I101" s="6" t="s">
        <v>138</v>
      </c>
      <c r="K101" s="20">
        <v>38961</v>
      </c>
    </row>
    <row r="102" spans="1:11" ht="12.75">
      <c r="A102" s="6" t="s">
        <v>9</v>
      </c>
      <c r="B102" s="6" t="s">
        <v>133</v>
      </c>
      <c r="C102" s="6" t="s">
        <v>139</v>
      </c>
      <c r="D102" s="7">
        <v>32.5655556</v>
      </c>
      <c r="E102" s="7">
        <v>0.3155556</v>
      </c>
      <c r="F102" s="6">
        <v>17</v>
      </c>
      <c r="G102" s="7">
        <f>1/F102</f>
        <v>0.058823529411764705</v>
      </c>
      <c r="H102" s="6" t="s">
        <v>12</v>
      </c>
      <c r="I102" s="6" t="s">
        <v>138</v>
      </c>
      <c r="K102" s="20">
        <v>38961</v>
      </c>
    </row>
    <row r="103" spans="1:11" ht="12.75">
      <c r="A103" s="6" t="s">
        <v>9</v>
      </c>
      <c r="B103" s="6" t="s">
        <v>140</v>
      </c>
      <c r="C103" s="6" t="s">
        <v>141</v>
      </c>
      <c r="D103" s="7">
        <v>28.11</v>
      </c>
      <c r="E103" s="7">
        <v>15.28</v>
      </c>
      <c r="F103" s="6">
        <v>26</v>
      </c>
      <c r="G103" s="7">
        <v>0</v>
      </c>
      <c r="H103" s="6" t="s">
        <v>12</v>
      </c>
      <c r="I103" s="6" t="s">
        <v>142</v>
      </c>
      <c r="K103" s="20">
        <v>38961</v>
      </c>
    </row>
    <row r="104" spans="1:11" ht="12.75">
      <c r="A104" s="6" t="s">
        <v>143</v>
      </c>
      <c r="B104" s="6" t="s">
        <v>144</v>
      </c>
      <c r="C104" s="6" t="s">
        <v>145</v>
      </c>
      <c r="D104" s="7">
        <v>87.5833333</v>
      </c>
      <c r="E104" s="7">
        <v>43.8</v>
      </c>
      <c r="F104" s="8">
        <v>195</v>
      </c>
      <c r="G104" s="7">
        <f>46/F104</f>
        <v>0.2358974358974359</v>
      </c>
      <c r="H104" s="10" t="s">
        <v>16</v>
      </c>
      <c r="I104" s="9" t="s">
        <v>146</v>
      </c>
      <c r="K104" s="20">
        <v>38961</v>
      </c>
    </row>
    <row r="105" spans="1:11" ht="12.75">
      <c r="A105" s="6" t="s">
        <v>143</v>
      </c>
      <c r="B105" s="6" t="s">
        <v>144</v>
      </c>
      <c r="C105" s="6" t="s">
        <v>147</v>
      </c>
      <c r="D105" s="7">
        <v>111.6522222</v>
      </c>
      <c r="E105" s="7">
        <v>40.8105556</v>
      </c>
      <c r="F105" s="8">
        <v>198</v>
      </c>
      <c r="G105" s="7">
        <f>24/F105</f>
        <v>0.12121212121212122</v>
      </c>
      <c r="H105" s="10" t="s">
        <v>16</v>
      </c>
      <c r="I105" s="9" t="s">
        <v>146</v>
      </c>
      <c r="K105" s="20">
        <v>38961</v>
      </c>
    </row>
    <row r="106" spans="1:11" ht="12.75">
      <c r="A106" s="6" t="s">
        <v>143</v>
      </c>
      <c r="B106" s="6" t="s">
        <v>144</v>
      </c>
      <c r="C106" s="6" t="s">
        <v>148</v>
      </c>
      <c r="D106" s="7">
        <v>116.3883333</v>
      </c>
      <c r="E106" s="7">
        <v>39.9288889</v>
      </c>
      <c r="F106" s="8">
        <v>248</v>
      </c>
      <c r="G106" s="7">
        <f>19/F106</f>
        <v>0.07661290322580645</v>
      </c>
      <c r="H106" s="10" t="s">
        <v>16</v>
      </c>
      <c r="I106" s="9" t="s">
        <v>146</v>
      </c>
      <c r="K106" s="20">
        <v>38961</v>
      </c>
    </row>
    <row r="107" spans="1:11" ht="12.75">
      <c r="A107" s="6" t="s">
        <v>143</v>
      </c>
      <c r="B107" s="6" t="s">
        <v>149</v>
      </c>
      <c r="C107" s="6" t="s">
        <v>150</v>
      </c>
      <c r="D107" s="7">
        <v>72.8258333</v>
      </c>
      <c r="E107" s="7">
        <v>18.975</v>
      </c>
      <c r="F107" s="8">
        <v>100</v>
      </c>
      <c r="G107" s="7">
        <f>36/F107</f>
        <v>0.36</v>
      </c>
      <c r="H107" s="10" t="s">
        <v>12</v>
      </c>
      <c r="I107" s="6" t="s">
        <v>151</v>
      </c>
      <c r="K107" s="20">
        <v>38961</v>
      </c>
    </row>
    <row r="108" spans="1:11" ht="12.75">
      <c r="A108" s="6" t="s">
        <v>143</v>
      </c>
      <c r="B108" s="6" t="s">
        <v>149</v>
      </c>
      <c r="C108" s="6" t="s">
        <v>150</v>
      </c>
      <c r="D108" s="7">
        <v>78.4744444</v>
      </c>
      <c r="E108" s="7">
        <v>17.3752778</v>
      </c>
      <c r="F108" s="8">
        <v>18</v>
      </c>
      <c r="G108" s="7">
        <f>7/F108</f>
        <v>0.3888888888888889</v>
      </c>
      <c r="H108" s="10" t="s">
        <v>12</v>
      </c>
      <c r="I108" s="9" t="s">
        <v>152</v>
      </c>
      <c r="K108" s="20">
        <v>38961</v>
      </c>
    </row>
    <row r="109" spans="1:11" ht="12.75">
      <c r="A109" s="6" t="s">
        <v>143</v>
      </c>
      <c r="B109" s="6" t="s">
        <v>149</v>
      </c>
      <c r="C109" s="6" t="s">
        <v>150</v>
      </c>
      <c r="D109" s="7">
        <v>80.28</v>
      </c>
      <c r="E109" s="7">
        <v>13.08</v>
      </c>
      <c r="F109" s="6">
        <v>38</v>
      </c>
      <c r="G109" s="7">
        <v>0</v>
      </c>
      <c r="H109" s="6" t="s">
        <v>153</v>
      </c>
      <c r="I109" s="9" t="s">
        <v>154</v>
      </c>
      <c r="K109" s="20">
        <v>38961</v>
      </c>
    </row>
    <row r="110" spans="1:11" ht="12.75">
      <c r="A110" s="6" t="s">
        <v>143</v>
      </c>
      <c r="B110" s="6" t="s">
        <v>149</v>
      </c>
      <c r="C110" s="6" t="s">
        <v>155</v>
      </c>
      <c r="D110" s="7">
        <v>77.2</v>
      </c>
      <c r="E110" s="7">
        <v>28.6</v>
      </c>
      <c r="F110" s="8">
        <v>70</v>
      </c>
      <c r="G110" s="7">
        <f>51/F110</f>
        <v>0.7285714285714285</v>
      </c>
      <c r="H110" s="10" t="s">
        <v>12</v>
      </c>
      <c r="I110" s="9" t="s">
        <v>156</v>
      </c>
      <c r="K110" s="20">
        <v>38961</v>
      </c>
    </row>
    <row r="111" spans="1:11" ht="12.75">
      <c r="A111" s="6" t="s">
        <v>143</v>
      </c>
      <c r="B111" s="6" t="s">
        <v>149</v>
      </c>
      <c r="C111" s="6" t="s">
        <v>155</v>
      </c>
      <c r="D111" s="7">
        <v>77.2</v>
      </c>
      <c r="E111" s="7">
        <v>28.6</v>
      </c>
      <c r="F111" s="8">
        <v>66</v>
      </c>
      <c r="G111" s="7">
        <f>24/F111</f>
        <v>0.36363636363636365</v>
      </c>
      <c r="H111" s="10" t="s">
        <v>12</v>
      </c>
      <c r="I111" s="9" t="s">
        <v>157</v>
      </c>
      <c r="K111" s="20">
        <v>38961</v>
      </c>
    </row>
    <row r="112" spans="1:11" ht="12.75">
      <c r="A112" s="6" t="s">
        <v>143</v>
      </c>
      <c r="B112" s="6" t="s">
        <v>158</v>
      </c>
      <c r="C112" s="6" t="s">
        <v>159</v>
      </c>
      <c r="D112" s="7">
        <v>140.4725</v>
      </c>
      <c r="E112" s="7">
        <v>40.5930556</v>
      </c>
      <c r="F112" s="8">
        <v>40</v>
      </c>
      <c r="G112" s="7">
        <f>11/F112</f>
        <v>0.275</v>
      </c>
      <c r="H112" s="10" t="s">
        <v>12</v>
      </c>
      <c r="I112" s="9" t="s">
        <v>160</v>
      </c>
      <c r="K112" s="20">
        <v>38961</v>
      </c>
    </row>
    <row r="113" spans="1:11" ht="12.75">
      <c r="A113" s="6" t="s">
        <v>143</v>
      </c>
      <c r="B113" s="6" t="s">
        <v>161</v>
      </c>
      <c r="C113" s="6" t="s">
        <v>162</v>
      </c>
      <c r="D113" s="7">
        <v>91.167</v>
      </c>
      <c r="E113" s="7">
        <v>16.783</v>
      </c>
      <c r="F113" s="6">
        <v>50</v>
      </c>
      <c r="G113" s="7">
        <v>0.08</v>
      </c>
      <c r="H113" s="6" t="s">
        <v>12</v>
      </c>
      <c r="I113" s="6" t="s">
        <v>163</v>
      </c>
      <c r="K113" s="20">
        <v>38961</v>
      </c>
    </row>
    <row r="114" spans="1:11" ht="12.75">
      <c r="A114" s="6" t="s">
        <v>143</v>
      </c>
      <c r="B114" s="6" t="s">
        <v>164</v>
      </c>
      <c r="C114" s="6" t="s">
        <v>165</v>
      </c>
      <c r="D114" s="7">
        <v>67.05</v>
      </c>
      <c r="E114" s="7">
        <v>24.8666667</v>
      </c>
      <c r="F114" s="8">
        <v>4</v>
      </c>
      <c r="G114" s="7">
        <f>4/F114</f>
        <v>1</v>
      </c>
      <c r="H114" s="10" t="s">
        <v>12</v>
      </c>
      <c r="I114" s="9" t="s">
        <v>166</v>
      </c>
      <c r="K114" s="20">
        <v>38961</v>
      </c>
    </row>
    <row r="115" spans="1:11" ht="12.75">
      <c r="A115" s="6" t="s">
        <v>143</v>
      </c>
      <c r="B115" s="6" t="s">
        <v>164</v>
      </c>
      <c r="C115" s="6" t="s">
        <v>167</v>
      </c>
      <c r="D115" s="7">
        <v>71.92</v>
      </c>
      <c r="E115" s="7">
        <v>32.271</v>
      </c>
      <c r="F115" s="8">
        <v>32</v>
      </c>
      <c r="G115" s="7">
        <f>12/F115</f>
        <v>0.375</v>
      </c>
      <c r="H115" s="10" t="s">
        <v>16</v>
      </c>
      <c r="I115" s="6" t="s">
        <v>168</v>
      </c>
      <c r="K115" s="20">
        <v>38961</v>
      </c>
    </row>
    <row r="116" spans="1:11" ht="12.75">
      <c r="A116" s="6" t="s">
        <v>143</v>
      </c>
      <c r="B116" s="6" t="s">
        <v>164</v>
      </c>
      <c r="C116" s="6" t="s">
        <v>169</v>
      </c>
      <c r="D116" s="7">
        <v>71.92</v>
      </c>
      <c r="E116" s="7">
        <v>32.271</v>
      </c>
      <c r="F116" s="8">
        <v>27</v>
      </c>
      <c r="G116" s="7">
        <f>8/F116</f>
        <v>0.2962962962962963</v>
      </c>
      <c r="H116" s="10" t="s">
        <v>16</v>
      </c>
      <c r="I116" s="6" t="s">
        <v>168</v>
      </c>
      <c r="K116" s="20">
        <v>38961</v>
      </c>
    </row>
    <row r="117" spans="1:11" ht="12.75">
      <c r="A117" s="6" t="s">
        <v>143</v>
      </c>
      <c r="B117" s="6" t="s">
        <v>164</v>
      </c>
      <c r="C117" s="6" t="s">
        <v>170</v>
      </c>
      <c r="D117" s="7">
        <v>67.05</v>
      </c>
      <c r="E117" s="7">
        <v>24.8666667</v>
      </c>
      <c r="F117" s="8">
        <v>15</v>
      </c>
      <c r="G117" s="7">
        <f>12/F117</f>
        <v>0.8</v>
      </c>
      <c r="H117" s="10" t="s">
        <v>12</v>
      </c>
      <c r="I117" s="9" t="s">
        <v>166</v>
      </c>
      <c r="K117" s="20">
        <v>38961</v>
      </c>
    </row>
    <row r="118" spans="1:11" ht="12.75">
      <c r="A118" s="6" t="s">
        <v>143</v>
      </c>
      <c r="B118" s="6" t="s">
        <v>164</v>
      </c>
      <c r="C118" s="6" t="s">
        <v>171</v>
      </c>
      <c r="D118" s="7">
        <v>67.05</v>
      </c>
      <c r="E118" s="7">
        <v>24.8666667</v>
      </c>
      <c r="F118" s="8">
        <v>15</v>
      </c>
      <c r="G118" s="7">
        <f>15/F118</f>
        <v>1</v>
      </c>
      <c r="H118" s="10" t="s">
        <v>12</v>
      </c>
      <c r="I118" s="9" t="s">
        <v>166</v>
      </c>
      <c r="K118" s="20">
        <v>38961</v>
      </c>
    </row>
    <row r="119" spans="1:11" ht="12.75">
      <c r="A119" s="6" t="s">
        <v>143</v>
      </c>
      <c r="B119" s="6" t="s">
        <v>164</v>
      </c>
      <c r="C119" s="6" t="s">
        <v>172</v>
      </c>
      <c r="D119" s="7">
        <v>71.92</v>
      </c>
      <c r="E119" s="7">
        <v>32.271</v>
      </c>
      <c r="F119" s="8">
        <v>322</v>
      </c>
      <c r="G119" s="7">
        <f>132/F119</f>
        <v>0.40993788819875776</v>
      </c>
      <c r="H119" s="10" t="s">
        <v>16</v>
      </c>
      <c r="I119" s="6" t="s">
        <v>168</v>
      </c>
      <c r="K119" s="20">
        <v>38961</v>
      </c>
    </row>
    <row r="120" spans="1:11" ht="12.75">
      <c r="A120" s="6" t="s">
        <v>143</v>
      </c>
      <c r="B120" s="6" t="s">
        <v>164</v>
      </c>
      <c r="C120" s="6" t="s">
        <v>172</v>
      </c>
      <c r="D120" s="7">
        <v>67.05</v>
      </c>
      <c r="E120" s="7">
        <v>24.8666667</v>
      </c>
      <c r="F120" s="8">
        <v>9</v>
      </c>
      <c r="G120" s="7">
        <f>9/F120</f>
        <v>1</v>
      </c>
      <c r="H120" s="10" t="s">
        <v>12</v>
      </c>
      <c r="I120" s="9" t="s">
        <v>166</v>
      </c>
      <c r="K120" s="20">
        <v>38961</v>
      </c>
    </row>
    <row r="121" spans="1:11" ht="12.75">
      <c r="A121" s="6" t="s">
        <v>143</v>
      </c>
      <c r="B121" s="6" t="s">
        <v>164</v>
      </c>
      <c r="C121" s="6" t="s">
        <v>173</v>
      </c>
      <c r="D121" s="7">
        <v>71.92</v>
      </c>
      <c r="E121" s="7">
        <v>32.271</v>
      </c>
      <c r="F121" s="8">
        <v>33</v>
      </c>
      <c r="G121" s="7">
        <f>14/F121</f>
        <v>0.42424242424242425</v>
      </c>
      <c r="H121" s="10" t="s">
        <v>16</v>
      </c>
      <c r="I121" s="6" t="s">
        <v>168</v>
      </c>
      <c r="K121" s="20">
        <v>38961</v>
      </c>
    </row>
    <row r="122" spans="1:11" ht="12.75">
      <c r="A122" s="6" t="s">
        <v>143</v>
      </c>
      <c r="B122" s="6" t="s">
        <v>164</v>
      </c>
      <c r="C122" s="6" t="s">
        <v>173</v>
      </c>
      <c r="D122" s="7">
        <v>67.05</v>
      </c>
      <c r="E122" s="7">
        <v>24.8666667</v>
      </c>
      <c r="F122" s="8">
        <v>12</v>
      </c>
      <c r="G122" s="7">
        <f>12/F122</f>
        <v>1</v>
      </c>
      <c r="H122" s="10" t="s">
        <v>12</v>
      </c>
      <c r="I122" s="9" t="s">
        <v>166</v>
      </c>
      <c r="K122" s="20">
        <v>38961</v>
      </c>
    </row>
    <row r="123" spans="1:11" ht="12.75">
      <c r="A123" s="6" t="s">
        <v>143</v>
      </c>
      <c r="B123" s="6" t="s">
        <v>174</v>
      </c>
      <c r="C123" s="6" t="s">
        <v>175</v>
      </c>
      <c r="D123" s="7">
        <v>69.019444</v>
      </c>
      <c r="E123" s="7">
        <v>61.041667</v>
      </c>
      <c r="F123" s="8">
        <v>115</v>
      </c>
      <c r="G123" s="7">
        <f>33/F123</f>
        <v>0.28695652173913044</v>
      </c>
      <c r="H123" s="10" t="s">
        <v>12</v>
      </c>
      <c r="I123" s="9" t="s">
        <v>176</v>
      </c>
      <c r="K123" s="20">
        <v>38961</v>
      </c>
    </row>
    <row r="124" spans="1:11" ht="12.75">
      <c r="A124" s="6" t="s">
        <v>143</v>
      </c>
      <c r="B124" s="6" t="s">
        <v>174</v>
      </c>
      <c r="C124" s="6" t="s">
        <v>177</v>
      </c>
      <c r="D124" s="7">
        <v>50.8122222</v>
      </c>
      <c r="E124" s="7">
        <v>61.6666667</v>
      </c>
      <c r="F124" s="8">
        <v>56</v>
      </c>
      <c r="G124" s="7">
        <f>21/F124</f>
        <v>0.375</v>
      </c>
      <c r="H124" s="10" t="s">
        <v>12</v>
      </c>
      <c r="I124" s="9" t="s">
        <v>176</v>
      </c>
      <c r="K124" s="20">
        <v>38961</v>
      </c>
    </row>
    <row r="125" spans="1:11" ht="12.75">
      <c r="A125" s="6" t="s">
        <v>143</v>
      </c>
      <c r="B125" s="6" t="s">
        <v>174</v>
      </c>
      <c r="C125" s="6" t="s">
        <v>178</v>
      </c>
      <c r="D125" s="7">
        <v>69.019444</v>
      </c>
      <c r="E125" s="7">
        <v>61.041667</v>
      </c>
      <c r="F125" s="8">
        <v>81</v>
      </c>
      <c r="G125" s="7">
        <f>23/F125</f>
        <v>0.2839506172839506</v>
      </c>
      <c r="H125" s="10" t="s">
        <v>12</v>
      </c>
      <c r="I125" s="9" t="s">
        <v>176</v>
      </c>
      <c r="K125" s="20">
        <v>38961</v>
      </c>
    </row>
    <row r="126" spans="1:11" ht="12.75">
      <c r="A126" s="6" t="s">
        <v>143</v>
      </c>
      <c r="B126" s="6" t="s">
        <v>174</v>
      </c>
      <c r="C126" s="6" t="s">
        <v>179</v>
      </c>
      <c r="D126" s="7">
        <v>80.8572222</v>
      </c>
      <c r="E126" s="7">
        <v>59.0555556</v>
      </c>
      <c r="F126" s="8">
        <v>9</v>
      </c>
      <c r="G126" s="7">
        <f>2/F126</f>
        <v>0.2222222222222222</v>
      </c>
      <c r="H126" s="10" t="s">
        <v>12</v>
      </c>
      <c r="I126" s="9" t="s">
        <v>176</v>
      </c>
      <c r="K126" s="20">
        <v>38961</v>
      </c>
    </row>
    <row r="127" spans="1:11" ht="12.75">
      <c r="A127" s="6" t="s">
        <v>143</v>
      </c>
      <c r="B127" s="6" t="s">
        <v>174</v>
      </c>
      <c r="C127" s="6" t="s">
        <v>180</v>
      </c>
      <c r="D127" s="7">
        <v>53.2333333</v>
      </c>
      <c r="E127" s="7">
        <v>56.85</v>
      </c>
      <c r="F127" s="8">
        <v>30</v>
      </c>
      <c r="G127" s="7">
        <f>18/F127</f>
        <v>0.6</v>
      </c>
      <c r="H127" s="10" t="s">
        <v>12</v>
      </c>
      <c r="I127" s="9" t="s">
        <v>176</v>
      </c>
      <c r="K127" s="20">
        <v>38961</v>
      </c>
    </row>
    <row r="128" spans="1:11" ht="12.75">
      <c r="A128" s="6" t="s">
        <v>143</v>
      </c>
      <c r="B128" s="6" t="s">
        <v>174</v>
      </c>
      <c r="C128" s="6" t="s">
        <v>181</v>
      </c>
      <c r="D128" s="7">
        <v>80.8572222</v>
      </c>
      <c r="E128" s="7">
        <v>59.0555556</v>
      </c>
      <c r="F128" s="10">
        <v>47</v>
      </c>
      <c r="G128" s="7">
        <f>24/F128</f>
        <v>0.5106382978723404</v>
      </c>
      <c r="H128" s="10" t="s">
        <v>12</v>
      </c>
      <c r="I128" s="9" t="s">
        <v>176</v>
      </c>
      <c r="K128" s="20">
        <v>38961</v>
      </c>
    </row>
    <row r="129" spans="1:11" ht="12.75">
      <c r="A129" s="6" t="s">
        <v>143</v>
      </c>
      <c r="B129" s="6" t="s">
        <v>182</v>
      </c>
      <c r="C129" s="6" t="s">
        <v>183</v>
      </c>
      <c r="D129" s="7">
        <v>80.635</v>
      </c>
      <c r="E129" s="7">
        <v>7.2963889</v>
      </c>
      <c r="F129" s="6">
        <v>135</v>
      </c>
      <c r="G129" s="7">
        <v>0.288888888888889</v>
      </c>
      <c r="H129" s="10" t="s">
        <v>12</v>
      </c>
      <c r="I129" s="9" t="s">
        <v>184</v>
      </c>
      <c r="K129" s="20">
        <v>38961</v>
      </c>
    </row>
    <row r="130" spans="1:11" ht="12.75">
      <c r="A130" s="6" t="s">
        <v>143</v>
      </c>
      <c r="B130" s="6" t="s">
        <v>182</v>
      </c>
      <c r="C130" s="6" t="s">
        <v>183</v>
      </c>
      <c r="D130" s="7">
        <v>80.635</v>
      </c>
      <c r="E130" s="7">
        <v>7.2963889</v>
      </c>
      <c r="F130" s="8">
        <v>135</v>
      </c>
      <c r="G130" s="7">
        <v>0.288888888888889</v>
      </c>
      <c r="H130" s="10" t="s">
        <v>12</v>
      </c>
      <c r="I130" s="9" t="s">
        <v>184</v>
      </c>
      <c r="K130" s="20">
        <v>38961</v>
      </c>
    </row>
    <row r="131" spans="1:11" ht="12.75">
      <c r="A131" s="6" t="s">
        <v>143</v>
      </c>
      <c r="B131" s="6" t="s">
        <v>182</v>
      </c>
      <c r="C131" s="6" t="s">
        <v>185</v>
      </c>
      <c r="D131" s="7">
        <v>80.6027778</v>
      </c>
      <c r="E131" s="7">
        <v>7.2630556</v>
      </c>
      <c r="F131" s="8">
        <v>200</v>
      </c>
      <c r="G131" s="7">
        <f>55/F131</f>
        <v>0.275</v>
      </c>
      <c r="H131" s="10" t="s">
        <v>12</v>
      </c>
      <c r="I131" s="9" t="s">
        <v>186</v>
      </c>
      <c r="K131" s="20">
        <v>38961</v>
      </c>
    </row>
    <row r="132" spans="1:11" ht="12.75">
      <c r="A132" s="6" t="s">
        <v>143</v>
      </c>
      <c r="B132" s="6" t="s">
        <v>187</v>
      </c>
      <c r="C132" s="6" t="s">
        <v>188</v>
      </c>
      <c r="D132" s="7">
        <v>121.45</v>
      </c>
      <c r="E132" s="7">
        <v>25.0166667</v>
      </c>
      <c r="F132" s="8">
        <v>50</v>
      </c>
      <c r="G132" s="7">
        <f>6/F132</f>
        <v>0.12</v>
      </c>
      <c r="H132" s="10" t="s">
        <v>12</v>
      </c>
      <c r="I132" s="9" t="s">
        <v>189</v>
      </c>
      <c r="K132" s="20">
        <v>38961</v>
      </c>
    </row>
    <row r="133" spans="1:11" ht="12.75">
      <c r="A133" s="6" t="s">
        <v>143</v>
      </c>
      <c r="B133" s="6" t="s">
        <v>190</v>
      </c>
      <c r="C133" s="6" t="s">
        <v>191</v>
      </c>
      <c r="D133" s="7">
        <v>100.517</v>
      </c>
      <c r="E133" s="7">
        <v>13.75</v>
      </c>
      <c r="F133" s="8">
        <v>140</v>
      </c>
      <c r="G133" s="7">
        <v>0.03</v>
      </c>
      <c r="H133" s="10" t="s">
        <v>12</v>
      </c>
      <c r="I133" s="9" t="s">
        <v>192</v>
      </c>
      <c r="K133" s="20">
        <v>38961</v>
      </c>
    </row>
    <row r="134" spans="1:11" ht="12.75">
      <c r="A134" s="6" t="s">
        <v>143</v>
      </c>
      <c r="B134" s="6" t="s">
        <v>190</v>
      </c>
      <c r="C134" s="6" t="s">
        <v>191</v>
      </c>
      <c r="D134" s="7">
        <v>100.485</v>
      </c>
      <c r="E134" s="7">
        <v>13.45</v>
      </c>
      <c r="F134" s="6">
        <v>40</v>
      </c>
      <c r="G134" s="7">
        <v>0</v>
      </c>
      <c r="H134" s="6" t="s">
        <v>12</v>
      </c>
      <c r="I134" s="9" t="s">
        <v>193</v>
      </c>
      <c r="K134" s="20">
        <v>38961</v>
      </c>
    </row>
    <row r="135" spans="1:11" ht="12.75">
      <c r="A135" s="6" t="s">
        <v>194</v>
      </c>
      <c r="B135" s="6" t="s">
        <v>195</v>
      </c>
      <c r="C135" s="6" t="s">
        <v>196</v>
      </c>
      <c r="D135" s="7">
        <v>123.9666667</v>
      </c>
      <c r="E135" s="7">
        <v>-17.3</v>
      </c>
      <c r="F135" s="8">
        <v>45</v>
      </c>
      <c r="G135" s="7">
        <f>7/F135</f>
        <v>0.15555555555555556</v>
      </c>
      <c r="H135" s="10" t="s">
        <v>16</v>
      </c>
      <c r="I135" s="6" t="s">
        <v>197</v>
      </c>
      <c r="K135" s="20">
        <v>38961</v>
      </c>
    </row>
    <row r="136" spans="1:11" ht="12.75">
      <c r="A136" s="6" t="s">
        <v>194</v>
      </c>
      <c r="B136" s="6" t="s">
        <v>198</v>
      </c>
      <c r="C136" s="6" t="s">
        <v>199</v>
      </c>
      <c r="D136" s="7">
        <v>174.767</v>
      </c>
      <c r="E136" s="7">
        <v>-36.867</v>
      </c>
      <c r="F136" s="6">
        <v>28</v>
      </c>
      <c r="G136" s="7">
        <v>0.36</v>
      </c>
      <c r="H136" s="6" t="s">
        <v>16</v>
      </c>
      <c r="I136" s="6" t="s">
        <v>200</v>
      </c>
      <c r="K136" s="20">
        <v>38961</v>
      </c>
    </row>
    <row r="137" spans="1:11" ht="12.75">
      <c r="A137" s="6" t="s">
        <v>194</v>
      </c>
      <c r="B137" s="6" t="s">
        <v>201</v>
      </c>
      <c r="C137" s="6" t="s">
        <v>202</v>
      </c>
      <c r="D137" s="7">
        <v>147.1925</v>
      </c>
      <c r="E137" s="7">
        <v>-9.4647222</v>
      </c>
      <c r="F137" s="8">
        <v>14</v>
      </c>
      <c r="G137" s="7">
        <f>1/F137</f>
        <v>0.07142857142857142</v>
      </c>
      <c r="H137" s="10" t="s">
        <v>12</v>
      </c>
      <c r="I137" s="6" t="s">
        <v>203</v>
      </c>
      <c r="K137" s="20">
        <v>38961</v>
      </c>
    </row>
    <row r="138" spans="1:11" ht="12.75">
      <c r="A138" s="6" t="s">
        <v>194</v>
      </c>
      <c r="B138" s="6" t="s">
        <v>201</v>
      </c>
      <c r="C138" s="6" t="s">
        <v>204</v>
      </c>
      <c r="D138" s="7">
        <v>143.5166667</v>
      </c>
      <c r="E138" s="7">
        <v>-4.1833333</v>
      </c>
      <c r="F138" s="8">
        <v>35</v>
      </c>
      <c r="G138" s="7">
        <f>8/35</f>
        <v>0.22857142857142856</v>
      </c>
      <c r="H138" s="6" t="s">
        <v>16</v>
      </c>
      <c r="I138" s="11" t="s">
        <v>205</v>
      </c>
      <c r="K138" s="20">
        <v>38961</v>
      </c>
    </row>
    <row r="139" spans="1:11" ht="12.75">
      <c r="A139" s="6" t="s">
        <v>194</v>
      </c>
      <c r="B139" s="6" t="s">
        <v>201</v>
      </c>
      <c r="C139" s="6" t="s">
        <v>206</v>
      </c>
      <c r="D139" s="7">
        <v>147.1925</v>
      </c>
      <c r="E139" s="7">
        <v>-9.4647222</v>
      </c>
      <c r="F139" s="8">
        <v>13</v>
      </c>
      <c r="G139" s="7">
        <f>1/F139</f>
        <v>0.07692307692307693</v>
      </c>
      <c r="H139" s="10" t="s">
        <v>12</v>
      </c>
      <c r="I139" s="6" t="s">
        <v>203</v>
      </c>
      <c r="K139" s="20">
        <v>38961</v>
      </c>
    </row>
    <row r="140" spans="1:11" ht="12.75">
      <c r="A140" s="6" t="s">
        <v>194</v>
      </c>
      <c r="B140" s="6" t="s">
        <v>201</v>
      </c>
      <c r="C140" s="6" t="s">
        <v>207</v>
      </c>
      <c r="D140" s="7">
        <v>147.1925</v>
      </c>
      <c r="E140" s="7">
        <v>-9.4647222</v>
      </c>
      <c r="F140" s="8">
        <v>13</v>
      </c>
      <c r="G140" s="7">
        <v>0</v>
      </c>
      <c r="H140" s="10" t="s">
        <v>12</v>
      </c>
      <c r="I140" s="6" t="s">
        <v>203</v>
      </c>
      <c r="K140" s="20">
        <v>38961</v>
      </c>
    </row>
    <row r="141" spans="1:11" ht="12.75">
      <c r="A141" s="6" t="s">
        <v>194</v>
      </c>
      <c r="B141" s="6" t="s">
        <v>201</v>
      </c>
      <c r="C141" s="6" t="s">
        <v>208</v>
      </c>
      <c r="D141" s="7">
        <v>142.95</v>
      </c>
      <c r="E141" s="7">
        <v>-5.7</v>
      </c>
      <c r="F141" s="8">
        <v>30</v>
      </c>
      <c r="G141" s="7">
        <f>3/F141</f>
        <v>0.1</v>
      </c>
      <c r="H141" s="10" t="s">
        <v>12</v>
      </c>
      <c r="I141" s="9" t="s">
        <v>209</v>
      </c>
      <c r="K141" s="20">
        <v>38961</v>
      </c>
    </row>
    <row r="142" spans="1:11" ht="12.75">
      <c r="A142" s="6" t="s">
        <v>194</v>
      </c>
      <c r="B142" s="6" t="s">
        <v>201</v>
      </c>
      <c r="C142" s="6" t="s">
        <v>210</v>
      </c>
      <c r="D142" s="7">
        <v>147.1925</v>
      </c>
      <c r="E142" s="7">
        <v>-9.4647222</v>
      </c>
      <c r="F142" s="8">
        <v>2</v>
      </c>
      <c r="G142" s="7">
        <v>0</v>
      </c>
      <c r="H142" s="10" t="s">
        <v>12</v>
      </c>
      <c r="I142" s="6" t="s">
        <v>203</v>
      </c>
      <c r="K142" s="20">
        <v>38961</v>
      </c>
    </row>
    <row r="143" spans="1:11" ht="12.75">
      <c r="A143" s="6" t="s">
        <v>194</v>
      </c>
      <c r="B143" s="6" t="s">
        <v>201</v>
      </c>
      <c r="C143" s="6" t="s">
        <v>211</v>
      </c>
      <c r="D143" s="7">
        <v>147.1925</v>
      </c>
      <c r="E143" s="7">
        <v>-9.4647222</v>
      </c>
      <c r="F143" s="8">
        <v>5</v>
      </c>
      <c r="G143" s="7">
        <v>0</v>
      </c>
      <c r="H143" s="10" t="s">
        <v>12</v>
      </c>
      <c r="I143" s="6" t="s">
        <v>203</v>
      </c>
      <c r="K143" s="20">
        <v>38961</v>
      </c>
    </row>
    <row r="144" spans="1:11" ht="12.75">
      <c r="A144" s="6" t="s">
        <v>194</v>
      </c>
      <c r="B144" s="6" t="s">
        <v>201</v>
      </c>
      <c r="C144" s="6" t="s">
        <v>212</v>
      </c>
      <c r="D144" s="7">
        <v>147.1925</v>
      </c>
      <c r="E144" s="7">
        <v>-9.4647222</v>
      </c>
      <c r="F144" s="8">
        <v>3</v>
      </c>
      <c r="G144" s="7">
        <v>0</v>
      </c>
      <c r="H144" s="10" t="s">
        <v>12</v>
      </c>
      <c r="I144" s="6" t="s">
        <v>203</v>
      </c>
      <c r="K144" s="20">
        <v>38961</v>
      </c>
    </row>
    <row r="145" spans="1:11" ht="12.75">
      <c r="A145" s="6" t="s">
        <v>213</v>
      </c>
      <c r="B145" s="6" t="s">
        <v>214</v>
      </c>
      <c r="C145" s="6" t="s">
        <v>215</v>
      </c>
      <c r="D145" s="7">
        <v>14</v>
      </c>
      <c r="E145" s="7">
        <v>47.75</v>
      </c>
      <c r="F145" s="8">
        <v>118</v>
      </c>
      <c r="G145" s="7">
        <f>89/F145</f>
        <v>0.7542372881355932</v>
      </c>
      <c r="H145" s="10" t="s">
        <v>16</v>
      </c>
      <c r="I145" s="9" t="s">
        <v>216</v>
      </c>
      <c r="K145" s="20">
        <v>38961</v>
      </c>
    </row>
    <row r="146" spans="1:11" ht="12.75">
      <c r="A146" s="6" t="s">
        <v>213</v>
      </c>
      <c r="B146" s="6" t="s">
        <v>214</v>
      </c>
      <c r="C146" s="6" t="s">
        <v>215</v>
      </c>
      <c r="D146" s="7">
        <v>14</v>
      </c>
      <c r="E146" s="7">
        <v>47.75</v>
      </c>
      <c r="F146" s="8">
        <v>57</v>
      </c>
      <c r="G146" s="7">
        <f>45/F146</f>
        <v>0.7894736842105263</v>
      </c>
      <c r="H146" s="10" t="s">
        <v>16</v>
      </c>
      <c r="I146" s="9" t="s">
        <v>216</v>
      </c>
      <c r="K146" s="20">
        <v>38961</v>
      </c>
    </row>
    <row r="147" spans="1:11" ht="12.75">
      <c r="A147" s="6" t="s">
        <v>213</v>
      </c>
      <c r="B147" s="6" t="s">
        <v>214</v>
      </c>
      <c r="C147" s="6" t="s">
        <v>215</v>
      </c>
      <c r="D147" s="7">
        <v>14</v>
      </c>
      <c r="E147" s="7">
        <v>47.75</v>
      </c>
      <c r="F147" s="8">
        <v>88</v>
      </c>
      <c r="G147" s="7">
        <f>70/F147</f>
        <v>0.7954545454545454</v>
      </c>
      <c r="H147" s="10" t="s">
        <v>16</v>
      </c>
      <c r="I147" s="9" t="s">
        <v>216</v>
      </c>
      <c r="K147" s="20">
        <v>38961</v>
      </c>
    </row>
    <row r="148" spans="1:11" ht="12.75">
      <c r="A148" s="6" t="s">
        <v>213</v>
      </c>
      <c r="B148" s="6" t="s">
        <v>214</v>
      </c>
      <c r="C148" s="6" t="s">
        <v>215</v>
      </c>
      <c r="D148" s="7">
        <v>14</v>
      </c>
      <c r="E148" s="7">
        <v>47.75</v>
      </c>
      <c r="F148" s="8">
        <v>32</v>
      </c>
      <c r="G148" s="7">
        <f>26/F148</f>
        <v>0.8125</v>
      </c>
      <c r="H148" s="10" t="s">
        <v>16</v>
      </c>
      <c r="I148" s="9" t="s">
        <v>216</v>
      </c>
      <c r="K148" s="20">
        <v>38961</v>
      </c>
    </row>
    <row r="149" spans="1:11" ht="12.75">
      <c r="A149" s="6" t="s">
        <v>213</v>
      </c>
      <c r="B149" s="6" t="s">
        <v>214</v>
      </c>
      <c r="C149" s="6" t="s">
        <v>217</v>
      </c>
      <c r="D149" s="7">
        <v>14.3052778</v>
      </c>
      <c r="E149" s="7">
        <v>46.6247222</v>
      </c>
      <c r="F149" s="8">
        <v>46</v>
      </c>
      <c r="G149" s="7">
        <f>37/F149</f>
        <v>0.8043478260869565</v>
      </c>
      <c r="H149" s="10" t="s">
        <v>16</v>
      </c>
      <c r="I149" s="9" t="s">
        <v>216</v>
      </c>
      <c r="K149" s="20">
        <v>38961</v>
      </c>
    </row>
    <row r="150" spans="1:11" ht="12.75">
      <c r="A150" s="6" t="s">
        <v>213</v>
      </c>
      <c r="B150" s="6" t="s">
        <v>214</v>
      </c>
      <c r="C150" s="6" t="s">
        <v>218</v>
      </c>
      <c r="D150" s="7">
        <v>14.3</v>
      </c>
      <c r="E150" s="7">
        <v>48.3</v>
      </c>
      <c r="F150" s="8">
        <v>45</v>
      </c>
      <c r="G150" s="7">
        <f>38/F150</f>
        <v>0.8444444444444444</v>
      </c>
      <c r="H150" s="10" t="s">
        <v>16</v>
      </c>
      <c r="I150" s="9" t="s">
        <v>216</v>
      </c>
      <c r="K150" s="20">
        <v>38961</v>
      </c>
    </row>
    <row r="151" spans="1:11" ht="12.75">
      <c r="A151" s="6" t="s">
        <v>213</v>
      </c>
      <c r="B151" s="6" t="s">
        <v>214</v>
      </c>
      <c r="C151" s="6" t="s">
        <v>219</v>
      </c>
      <c r="D151" s="7">
        <v>9.7666667</v>
      </c>
      <c r="E151" s="7">
        <v>47.5</v>
      </c>
      <c r="F151" s="8">
        <v>124</v>
      </c>
      <c r="G151" s="7">
        <f>103/F151</f>
        <v>0.8306451612903226</v>
      </c>
      <c r="H151" s="10" t="s">
        <v>16</v>
      </c>
      <c r="I151" s="9" t="s">
        <v>216</v>
      </c>
      <c r="K151" s="20">
        <v>38961</v>
      </c>
    </row>
    <row r="152" spans="1:11" ht="12.75">
      <c r="A152" s="6" t="s">
        <v>213</v>
      </c>
      <c r="B152" s="6" t="s">
        <v>220</v>
      </c>
      <c r="C152" s="6" t="s">
        <v>221</v>
      </c>
      <c r="D152" s="7">
        <v>33.367</v>
      </c>
      <c r="E152" s="7">
        <v>35.1666667</v>
      </c>
      <c r="F152" s="8">
        <v>50</v>
      </c>
      <c r="G152" s="7">
        <f>17/F152</f>
        <v>0.34</v>
      </c>
      <c r="H152" s="10" t="s">
        <v>12</v>
      </c>
      <c r="I152" s="9" t="s">
        <v>222</v>
      </c>
      <c r="K152" s="20">
        <v>38961</v>
      </c>
    </row>
    <row r="153" spans="1:11" ht="12.75">
      <c r="A153" s="6" t="s">
        <v>213</v>
      </c>
      <c r="B153" s="6" t="s">
        <v>223</v>
      </c>
      <c r="C153" s="6" t="s">
        <v>224</v>
      </c>
      <c r="D153" s="7">
        <v>12.5833333</v>
      </c>
      <c r="E153" s="7">
        <v>55.7333333</v>
      </c>
      <c r="F153" s="8">
        <v>91</v>
      </c>
      <c r="G153" s="7">
        <f>87/F153</f>
        <v>0.9560439560439561</v>
      </c>
      <c r="H153" s="10" t="s">
        <v>12</v>
      </c>
      <c r="I153" s="6" t="s">
        <v>225</v>
      </c>
      <c r="K153" s="20">
        <v>38961</v>
      </c>
    </row>
    <row r="154" spans="1:11" ht="12.75">
      <c r="A154" s="6" t="s">
        <v>213</v>
      </c>
      <c r="B154" s="6" t="s">
        <v>226</v>
      </c>
      <c r="C154" s="6" t="s">
        <v>227</v>
      </c>
      <c r="D154" s="7">
        <v>26.7005556</v>
      </c>
      <c r="E154" s="7">
        <v>58.2305556</v>
      </c>
      <c r="F154" s="8">
        <v>112</v>
      </c>
      <c r="G154" s="7">
        <f>(112-28)/F154</f>
        <v>0.75</v>
      </c>
      <c r="H154" s="10" t="s">
        <v>12</v>
      </c>
      <c r="I154" s="9" t="s">
        <v>228</v>
      </c>
      <c r="K154" s="20">
        <v>38961</v>
      </c>
    </row>
    <row r="155" spans="1:11" ht="12.75">
      <c r="A155" s="6" t="s">
        <v>213</v>
      </c>
      <c r="B155" s="6" t="s">
        <v>226</v>
      </c>
      <c r="C155" s="6" t="s">
        <v>229</v>
      </c>
      <c r="D155" s="7">
        <v>27.6380556</v>
      </c>
      <c r="E155" s="7">
        <v>57.9580556</v>
      </c>
      <c r="F155" s="8">
        <v>100</v>
      </c>
      <c r="G155" s="7">
        <f>(F155-49)/F155</f>
        <v>0.51</v>
      </c>
      <c r="H155" s="10" t="s">
        <v>65</v>
      </c>
      <c r="I155" s="9" t="s">
        <v>228</v>
      </c>
      <c r="K155" s="20">
        <v>38961</v>
      </c>
    </row>
    <row r="156" spans="1:11" ht="12.75">
      <c r="A156" s="6" t="s">
        <v>213</v>
      </c>
      <c r="B156" s="6" t="s">
        <v>230</v>
      </c>
      <c r="C156" s="6" t="s">
        <v>231</v>
      </c>
      <c r="D156" s="7">
        <v>21.433</v>
      </c>
      <c r="E156" s="7">
        <v>60.6</v>
      </c>
      <c r="F156" s="8">
        <v>91</v>
      </c>
      <c r="G156" s="7">
        <f>84/F156</f>
        <v>0.9230769230769231</v>
      </c>
      <c r="H156" s="10" t="s">
        <v>12</v>
      </c>
      <c r="I156" s="9" t="s">
        <v>232</v>
      </c>
      <c r="K156" s="20">
        <v>38961</v>
      </c>
    </row>
    <row r="157" spans="1:11" ht="12.75">
      <c r="A157" s="6" t="s">
        <v>213</v>
      </c>
      <c r="B157" s="6" t="s">
        <v>230</v>
      </c>
      <c r="C157" s="6" t="s">
        <v>233</v>
      </c>
      <c r="D157" s="7">
        <v>27.6833333</v>
      </c>
      <c r="E157" s="7">
        <v>62.9</v>
      </c>
      <c r="F157" s="8">
        <f>504+134</f>
        <v>638</v>
      </c>
      <c r="G157" s="7">
        <f>(504-85+134-24)/F157</f>
        <v>0.829153605015674</v>
      </c>
      <c r="H157" s="10" t="s">
        <v>153</v>
      </c>
      <c r="I157" s="9" t="s">
        <v>234</v>
      </c>
      <c r="K157" s="20">
        <v>38961</v>
      </c>
    </row>
    <row r="158" spans="1:11" ht="12.75">
      <c r="A158" s="6" t="s">
        <v>213</v>
      </c>
      <c r="B158" s="6" t="s">
        <v>230</v>
      </c>
      <c r="C158" s="6" t="s">
        <v>235</v>
      </c>
      <c r="D158" s="7">
        <v>21.9311111</v>
      </c>
      <c r="E158" s="7">
        <v>60.4113889</v>
      </c>
      <c r="F158" s="8">
        <v>159</v>
      </c>
      <c r="G158" s="7">
        <f>132/F158</f>
        <v>0.8301886792452831</v>
      </c>
      <c r="H158" s="10" t="s">
        <v>12</v>
      </c>
      <c r="I158" s="9" t="s">
        <v>236</v>
      </c>
      <c r="K158" s="20">
        <v>38961</v>
      </c>
    </row>
    <row r="159" spans="1:11" ht="12.75">
      <c r="A159" s="6" t="s">
        <v>213</v>
      </c>
      <c r="B159" s="6" t="s">
        <v>230</v>
      </c>
      <c r="C159" s="6" t="s">
        <v>237</v>
      </c>
      <c r="D159" s="7">
        <v>21.433</v>
      </c>
      <c r="E159" s="7">
        <v>60.6</v>
      </c>
      <c r="F159" s="8">
        <v>156</v>
      </c>
      <c r="G159" s="7">
        <f>129/F159</f>
        <v>0.8269230769230769</v>
      </c>
      <c r="H159" s="10" t="s">
        <v>12</v>
      </c>
      <c r="I159" s="9" t="s">
        <v>232</v>
      </c>
      <c r="K159" s="20">
        <v>38961</v>
      </c>
    </row>
    <row r="160" spans="1:11" ht="12.75">
      <c r="A160" s="6" t="s">
        <v>213</v>
      </c>
      <c r="B160" s="6" t="s">
        <v>238</v>
      </c>
      <c r="C160" s="6" t="s">
        <v>239</v>
      </c>
      <c r="D160" s="7">
        <v>17.5</v>
      </c>
      <c r="E160" s="7">
        <v>49</v>
      </c>
      <c r="F160" s="8">
        <v>17</v>
      </c>
      <c r="G160" s="7">
        <f>14/F160</f>
        <v>0.8235294117647058</v>
      </c>
      <c r="H160" s="10" t="s">
        <v>12</v>
      </c>
      <c r="I160" s="9" t="s">
        <v>240</v>
      </c>
      <c r="K160" s="20">
        <v>38961</v>
      </c>
    </row>
    <row r="161" spans="1:11" ht="12.75">
      <c r="A161" s="6" t="s">
        <v>213</v>
      </c>
      <c r="B161" s="6" t="s">
        <v>241</v>
      </c>
      <c r="C161" s="6" t="s">
        <v>242</v>
      </c>
      <c r="D161" s="7">
        <v>5.817</v>
      </c>
      <c r="E161" s="7">
        <v>44.933</v>
      </c>
      <c r="F161" s="8">
        <v>102</v>
      </c>
      <c r="G161" s="7">
        <f>78/F161</f>
        <v>0.7647058823529411</v>
      </c>
      <c r="H161" s="10" t="s">
        <v>16</v>
      </c>
      <c r="I161" s="6" t="s">
        <v>243</v>
      </c>
      <c r="K161" s="20">
        <v>38961</v>
      </c>
    </row>
    <row r="162" spans="1:11" ht="12.75">
      <c r="A162" s="6" t="s">
        <v>213</v>
      </c>
      <c r="B162" s="6" t="s">
        <v>241</v>
      </c>
      <c r="C162" s="6" t="s">
        <v>242</v>
      </c>
      <c r="D162" s="7">
        <v>6.6333333</v>
      </c>
      <c r="E162" s="7">
        <v>49.75</v>
      </c>
      <c r="F162" s="8">
        <v>85</v>
      </c>
      <c r="G162" s="7">
        <f>60/F162</f>
        <v>0.7058823529411765</v>
      </c>
      <c r="H162" s="10" t="s">
        <v>16</v>
      </c>
      <c r="I162" s="6" t="s">
        <v>244</v>
      </c>
      <c r="K162" s="20">
        <v>38961</v>
      </c>
    </row>
    <row r="163" spans="1:11" ht="12.75">
      <c r="A163" s="6" t="s">
        <v>213</v>
      </c>
      <c r="B163" s="6" t="s">
        <v>241</v>
      </c>
      <c r="C163" s="6" t="s">
        <v>245</v>
      </c>
      <c r="D163" s="7">
        <v>7.25</v>
      </c>
      <c r="E163" s="7">
        <v>43.7</v>
      </c>
      <c r="F163" s="8">
        <v>55</v>
      </c>
      <c r="G163" s="7">
        <f>12/F163</f>
        <v>0.21818181818181817</v>
      </c>
      <c r="H163" s="10" t="s">
        <v>12</v>
      </c>
      <c r="I163" s="9" t="s">
        <v>246</v>
      </c>
      <c r="K163" s="20">
        <v>38961</v>
      </c>
    </row>
    <row r="164" spans="1:11" ht="12.75">
      <c r="A164" s="6" t="s">
        <v>213</v>
      </c>
      <c r="B164" s="6" t="s">
        <v>241</v>
      </c>
      <c r="C164" s="6" t="s">
        <v>247</v>
      </c>
      <c r="D164" s="7">
        <v>6.6333333</v>
      </c>
      <c r="E164" s="7">
        <v>49.75</v>
      </c>
      <c r="F164" s="8">
        <v>76</v>
      </c>
      <c r="G164" s="7">
        <f>59/F164</f>
        <v>0.7763157894736842</v>
      </c>
      <c r="H164" s="10" t="s">
        <v>16</v>
      </c>
      <c r="I164" s="6" t="s">
        <v>244</v>
      </c>
      <c r="K164" s="20">
        <v>38961</v>
      </c>
    </row>
    <row r="165" spans="1:11" ht="12.75">
      <c r="A165" s="6" t="s">
        <v>213</v>
      </c>
      <c r="B165" s="6" t="s">
        <v>241</v>
      </c>
      <c r="C165" s="6" t="s">
        <v>248</v>
      </c>
      <c r="D165" s="7">
        <v>6.6333333</v>
      </c>
      <c r="E165" s="7">
        <v>49.75</v>
      </c>
      <c r="F165" s="8">
        <v>40</v>
      </c>
      <c r="G165" s="7">
        <f>17/F165</f>
        <v>0.425</v>
      </c>
      <c r="H165" s="10" t="s">
        <v>16</v>
      </c>
      <c r="I165" s="6" t="s">
        <v>244</v>
      </c>
      <c r="K165" s="20">
        <v>38961</v>
      </c>
    </row>
    <row r="166" spans="1:11" ht="12.75">
      <c r="A166" s="6" t="s">
        <v>213</v>
      </c>
      <c r="B166" s="6" t="s">
        <v>241</v>
      </c>
      <c r="C166" s="6" t="s">
        <v>248</v>
      </c>
      <c r="D166" s="7">
        <v>7.25</v>
      </c>
      <c r="E166" s="7">
        <v>43.7</v>
      </c>
      <c r="F166" s="8">
        <v>55</v>
      </c>
      <c r="G166" s="7">
        <f>32/F166</f>
        <v>0.5818181818181818</v>
      </c>
      <c r="H166" s="10" t="s">
        <v>12</v>
      </c>
      <c r="I166" s="9" t="s">
        <v>246</v>
      </c>
      <c r="K166" s="20">
        <v>38961</v>
      </c>
    </row>
    <row r="167" spans="1:11" ht="12.75">
      <c r="A167" s="6" t="s">
        <v>213</v>
      </c>
      <c r="B167" s="6" t="s">
        <v>249</v>
      </c>
      <c r="C167" s="6" t="s">
        <v>250</v>
      </c>
      <c r="D167" s="7">
        <v>9.5</v>
      </c>
      <c r="E167" s="7">
        <v>48.4</v>
      </c>
      <c r="F167" s="8">
        <v>136</v>
      </c>
      <c r="G167" s="7">
        <f>104/F167</f>
        <v>0.7647058823529411</v>
      </c>
      <c r="H167" s="10" t="s">
        <v>16</v>
      </c>
      <c r="I167" s="6" t="s">
        <v>251</v>
      </c>
      <c r="K167" s="20">
        <v>38961</v>
      </c>
    </row>
    <row r="168" spans="1:11" ht="12.75">
      <c r="A168" s="6" t="s">
        <v>213</v>
      </c>
      <c r="B168" s="6" t="s">
        <v>249</v>
      </c>
      <c r="C168" s="6" t="s">
        <v>252</v>
      </c>
      <c r="D168" s="7">
        <v>12.5333333</v>
      </c>
      <c r="E168" s="7">
        <v>47.8</v>
      </c>
      <c r="F168" s="8">
        <v>221</v>
      </c>
      <c r="G168" s="7">
        <f>191/F168</f>
        <v>0.8642533936651584</v>
      </c>
      <c r="H168" s="10" t="s">
        <v>16</v>
      </c>
      <c r="I168" s="12" t="s">
        <v>251</v>
      </c>
      <c r="K168" s="20">
        <v>38961</v>
      </c>
    </row>
    <row r="169" spans="1:11" ht="12.75">
      <c r="A169" s="6" t="s">
        <v>213</v>
      </c>
      <c r="B169" s="6" t="s">
        <v>249</v>
      </c>
      <c r="C169" s="6" t="s">
        <v>253</v>
      </c>
      <c r="D169" s="7">
        <v>13.75</v>
      </c>
      <c r="E169" s="7">
        <v>51.05</v>
      </c>
      <c r="F169" s="8">
        <v>246</v>
      </c>
      <c r="G169" s="7">
        <f>191/F169</f>
        <v>0.7764227642276422</v>
      </c>
      <c r="H169" s="10" t="s">
        <v>16</v>
      </c>
      <c r="I169" s="12" t="s">
        <v>251</v>
      </c>
      <c r="K169" s="20">
        <v>38961</v>
      </c>
    </row>
    <row r="170" spans="1:11" ht="12.75">
      <c r="A170" s="6" t="s">
        <v>213</v>
      </c>
      <c r="B170" s="6" t="s">
        <v>249</v>
      </c>
      <c r="C170" s="6" t="s">
        <v>254</v>
      </c>
      <c r="D170" s="7">
        <v>8.5166667</v>
      </c>
      <c r="E170" s="7">
        <v>53.1833333</v>
      </c>
      <c r="F170" s="8">
        <v>60</v>
      </c>
      <c r="G170" s="7">
        <f>52/F170</f>
        <v>0.8666666666666667</v>
      </c>
      <c r="H170" s="10" t="s">
        <v>153</v>
      </c>
      <c r="I170" s="9" t="s">
        <v>255</v>
      </c>
      <c r="K170" s="20">
        <v>38961</v>
      </c>
    </row>
    <row r="171" spans="1:11" ht="12.75">
      <c r="A171" s="6" t="s">
        <v>213</v>
      </c>
      <c r="B171" s="6" t="s">
        <v>249</v>
      </c>
      <c r="C171" s="6" t="s">
        <v>256</v>
      </c>
      <c r="D171" s="7">
        <v>8.8</v>
      </c>
      <c r="E171" s="7">
        <v>53.0833333</v>
      </c>
      <c r="F171" s="8">
        <v>341</v>
      </c>
      <c r="G171" s="7">
        <f>311/F171</f>
        <v>0.9120234604105572</v>
      </c>
      <c r="H171" s="10" t="s">
        <v>16</v>
      </c>
      <c r="I171" s="6" t="s">
        <v>251</v>
      </c>
      <c r="K171" s="20">
        <v>38961</v>
      </c>
    </row>
    <row r="172" spans="1:11" ht="12.75">
      <c r="A172" s="6" t="s">
        <v>213</v>
      </c>
      <c r="B172" s="6" t="s">
        <v>249</v>
      </c>
      <c r="C172" s="6" t="s">
        <v>257</v>
      </c>
      <c r="D172" s="7">
        <v>8.2711111</v>
      </c>
      <c r="E172" s="7">
        <v>50</v>
      </c>
      <c r="F172" s="8">
        <v>182</v>
      </c>
      <c r="G172" s="7">
        <f>157/F172</f>
        <v>0.8626373626373627</v>
      </c>
      <c r="H172" s="10" t="s">
        <v>16</v>
      </c>
      <c r="I172" s="6" t="s">
        <v>251</v>
      </c>
      <c r="K172" s="20">
        <v>38961</v>
      </c>
    </row>
    <row r="173" spans="1:11" ht="12.75">
      <c r="A173" s="6" t="s">
        <v>213</v>
      </c>
      <c r="B173" s="6" t="s">
        <v>249</v>
      </c>
      <c r="C173" s="6" t="s">
        <v>258</v>
      </c>
      <c r="D173" s="7">
        <v>9.55</v>
      </c>
      <c r="E173" s="7">
        <v>54.5166667</v>
      </c>
      <c r="F173" s="8">
        <v>100</v>
      </c>
      <c r="G173" s="7">
        <f>94/F173</f>
        <v>0.94</v>
      </c>
      <c r="H173" s="10" t="s">
        <v>16</v>
      </c>
      <c r="I173" s="12" t="s">
        <v>251</v>
      </c>
      <c r="K173" s="20">
        <v>38961</v>
      </c>
    </row>
    <row r="174" spans="1:11" ht="12.75">
      <c r="A174" s="6" t="s">
        <v>213</v>
      </c>
      <c r="B174" s="6" t="s">
        <v>259</v>
      </c>
      <c r="C174" s="6" t="s">
        <v>260</v>
      </c>
      <c r="D174" s="7">
        <v>23.733</v>
      </c>
      <c r="E174" s="7">
        <v>37.983</v>
      </c>
      <c r="F174" s="8">
        <v>600</v>
      </c>
      <c r="G174" s="7">
        <f>332/F174</f>
        <v>0.5533333333333333</v>
      </c>
      <c r="H174" s="10" t="s">
        <v>12</v>
      </c>
      <c r="I174" s="9" t="s">
        <v>222</v>
      </c>
      <c r="K174" s="20">
        <v>38961</v>
      </c>
    </row>
    <row r="175" spans="1:11" ht="12.75">
      <c r="A175" s="6" t="s">
        <v>213</v>
      </c>
      <c r="B175" s="6" t="s">
        <v>259</v>
      </c>
      <c r="C175" s="6" t="s">
        <v>261</v>
      </c>
      <c r="D175" s="7">
        <v>25.1305556</v>
      </c>
      <c r="E175" s="7">
        <v>35.325</v>
      </c>
      <c r="F175" s="8">
        <v>50</v>
      </c>
      <c r="G175" s="7">
        <f>22/F175</f>
        <v>0.44</v>
      </c>
      <c r="H175" s="10" t="s">
        <v>12</v>
      </c>
      <c r="I175" s="9" t="s">
        <v>222</v>
      </c>
      <c r="K175" s="20">
        <v>38961</v>
      </c>
    </row>
    <row r="176" spans="1:11" ht="12.75">
      <c r="A176" s="6" t="s">
        <v>213</v>
      </c>
      <c r="B176" s="6" t="s">
        <v>259</v>
      </c>
      <c r="C176" s="6" t="s">
        <v>262</v>
      </c>
      <c r="D176" s="7">
        <v>23.733</v>
      </c>
      <c r="E176" s="7">
        <v>37.9833333</v>
      </c>
      <c r="F176" s="8">
        <v>16</v>
      </c>
      <c r="G176" s="7">
        <f>10/F176</f>
        <v>0.625</v>
      </c>
      <c r="H176" s="10" t="s">
        <v>12</v>
      </c>
      <c r="I176" s="9" t="s">
        <v>263</v>
      </c>
      <c r="K176" s="20">
        <v>38961</v>
      </c>
    </row>
    <row r="177" spans="1:11" ht="12.75">
      <c r="A177" s="6" t="s">
        <v>213</v>
      </c>
      <c r="B177" s="6" t="s">
        <v>259</v>
      </c>
      <c r="C177" s="6" t="s">
        <v>264</v>
      </c>
      <c r="D177" s="7">
        <v>23.733</v>
      </c>
      <c r="E177" s="7">
        <v>37.983</v>
      </c>
      <c r="F177" s="8">
        <v>200</v>
      </c>
      <c r="G177" s="7">
        <f>50/F177</f>
        <v>0.25</v>
      </c>
      <c r="H177" s="10" t="s">
        <v>16</v>
      </c>
      <c r="I177" s="9" t="s">
        <v>265</v>
      </c>
      <c r="K177" s="20">
        <v>38961</v>
      </c>
    </row>
    <row r="178" spans="1:11" ht="12.75">
      <c r="A178" s="6" t="s">
        <v>213</v>
      </c>
      <c r="B178" s="6" t="s">
        <v>259</v>
      </c>
      <c r="C178" s="6" t="s">
        <v>264</v>
      </c>
      <c r="D178" s="7">
        <v>23.733</v>
      </c>
      <c r="E178" s="7">
        <v>37.983</v>
      </c>
      <c r="F178" s="10">
        <v>250</v>
      </c>
      <c r="G178" s="7">
        <v>0.768</v>
      </c>
      <c r="H178" s="10" t="s">
        <v>12</v>
      </c>
      <c r="I178" s="9" t="s">
        <v>266</v>
      </c>
      <c r="K178" s="20">
        <v>38961</v>
      </c>
    </row>
    <row r="179" spans="1:11" ht="12.75">
      <c r="A179" s="6" t="s">
        <v>213</v>
      </c>
      <c r="B179" s="6" t="s">
        <v>267</v>
      </c>
      <c r="C179" s="6" t="s">
        <v>268</v>
      </c>
      <c r="D179" s="7">
        <v>19.0833333</v>
      </c>
      <c r="E179" s="7">
        <v>47.5</v>
      </c>
      <c r="F179" s="8">
        <v>70</v>
      </c>
      <c r="G179" s="7">
        <f>50/F179</f>
        <v>0.7142857142857143</v>
      </c>
      <c r="H179" s="10" t="s">
        <v>16</v>
      </c>
      <c r="I179" s="6" t="s">
        <v>269</v>
      </c>
      <c r="K179" s="20">
        <v>38961</v>
      </c>
    </row>
    <row r="180" spans="1:11" ht="12.75">
      <c r="A180" s="6" t="s">
        <v>213</v>
      </c>
      <c r="B180" s="6" t="s">
        <v>267</v>
      </c>
      <c r="C180" s="6" t="s">
        <v>270</v>
      </c>
      <c r="D180" s="7">
        <v>19.0833333</v>
      </c>
      <c r="E180" s="7">
        <v>47.5</v>
      </c>
      <c r="F180" s="8">
        <v>262</v>
      </c>
      <c r="G180" s="7">
        <f>155/F180</f>
        <v>0.5916030534351145</v>
      </c>
      <c r="H180" s="10" t="s">
        <v>16</v>
      </c>
      <c r="I180" s="6" t="s">
        <v>269</v>
      </c>
      <c r="K180" s="20">
        <v>38961</v>
      </c>
    </row>
    <row r="181" spans="1:11" ht="12.75">
      <c r="A181" s="6" t="s">
        <v>213</v>
      </c>
      <c r="B181" s="6" t="s">
        <v>267</v>
      </c>
      <c r="C181" s="6" t="s">
        <v>271</v>
      </c>
      <c r="D181" s="7">
        <v>20.583</v>
      </c>
      <c r="E181" s="7">
        <v>47.8166667</v>
      </c>
      <c r="F181" s="8">
        <v>172</v>
      </c>
      <c r="G181" s="7">
        <f>109/F181</f>
        <v>0.6337209302325582</v>
      </c>
      <c r="H181" s="10" t="s">
        <v>16</v>
      </c>
      <c r="I181" s="6" t="s">
        <v>269</v>
      </c>
      <c r="K181" s="20">
        <v>38961</v>
      </c>
    </row>
    <row r="182" spans="1:11" ht="12.75">
      <c r="A182" s="6" t="s">
        <v>213</v>
      </c>
      <c r="B182" s="6" t="s">
        <v>267</v>
      </c>
      <c r="C182" s="6" t="s">
        <v>272</v>
      </c>
      <c r="D182" s="7">
        <v>19.0833333</v>
      </c>
      <c r="E182" s="7">
        <v>47.5</v>
      </c>
      <c r="F182" s="8">
        <v>103</v>
      </c>
      <c r="G182" s="7">
        <f>60/F182</f>
        <v>0.5825242718446602</v>
      </c>
      <c r="H182" s="10" t="s">
        <v>16</v>
      </c>
      <c r="I182" s="6" t="s">
        <v>269</v>
      </c>
      <c r="K182" s="20">
        <v>38961</v>
      </c>
    </row>
    <row r="183" spans="1:11" ht="12.75">
      <c r="A183" s="6" t="s">
        <v>213</v>
      </c>
      <c r="B183" s="6" t="s">
        <v>267</v>
      </c>
      <c r="C183" s="6" t="s">
        <v>273</v>
      </c>
      <c r="D183" s="7">
        <v>21.7166667</v>
      </c>
      <c r="E183" s="7">
        <v>47.95</v>
      </c>
      <c r="F183" s="8">
        <v>113</v>
      </c>
      <c r="G183" s="7">
        <f>50/F183</f>
        <v>0.4424778761061947</v>
      </c>
      <c r="H183" s="10" t="s">
        <v>16</v>
      </c>
      <c r="I183" s="6" t="s">
        <v>269</v>
      </c>
      <c r="K183" s="20">
        <v>38961</v>
      </c>
    </row>
    <row r="184" spans="1:11" ht="12.75">
      <c r="A184" s="6" t="s">
        <v>213</v>
      </c>
      <c r="B184" s="6" t="s">
        <v>267</v>
      </c>
      <c r="C184" s="6" t="s">
        <v>274</v>
      </c>
      <c r="D184" s="7">
        <v>19.0833333</v>
      </c>
      <c r="E184" s="7">
        <v>47.5</v>
      </c>
      <c r="F184" s="8">
        <v>100</v>
      </c>
      <c r="G184" s="7">
        <f>72/F184</f>
        <v>0.72</v>
      </c>
      <c r="H184" s="10" t="s">
        <v>16</v>
      </c>
      <c r="I184" s="6" t="s">
        <v>269</v>
      </c>
      <c r="K184" s="20">
        <v>38961</v>
      </c>
    </row>
    <row r="185" spans="1:11" ht="12.75">
      <c r="A185" s="6" t="s">
        <v>213</v>
      </c>
      <c r="B185" s="6" t="s">
        <v>275</v>
      </c>
      <c r="C185" s="6" t="s">
        <v>276</v>
      </c>
      <c r="D185" s="7">
        <v>-6.25</v>
      </c>
      <c r="E185" s="7">
        <v>53.333</v>
      </c>
      <c r="F185" s="8">
        <v>50</v>
      </c>
      <c r="G185" s="7">
        <f>48/F185</f>
        <v>0.96</v>
      </c>
      <c r="H185" s="10" t="s">
        <v>12</v>
      </c>
      <c r="I185" s="6" t="s">
        <v>277</v>
      </c>
      <c r="K185" s="20">
        <v>38961</v>
      </c>
    </row>
    <row r="186" spans="1:11" ht="12.75">
      <c r="A186" s="6" t="s">
        <v>213</v>
      </c>
      <c r="B186" s="6" t="s">
        <v>278</v>
      </c>
      <c r="C186" s="6" t="s">
        <v>279</v>
      </c>
      <c r="D186" s="7">
        <v>9.2</v>
      </c>
      <c r="E186" s="7">
        <v>45.467</v>
      </c>
      <c r="F186" s="8">
        <v>42</v>
      </c>
      <c r="G186" s="7">
        <f>16/F186</f>
        <v>0.38095238095238093</v>
      </c>
      <c r="H186" s="10" t="s">
        <v>16</v>
      </c>
      <c r="I186" s="6" t="s">
        <v>280</v>
      </c>
      <c r="K186" s="20">
        <v>38961</v>
      </c>
    </row>
    <row r="187" spans="1:11" ht="12.75">
      <c r="A187" s="6" t="s">
        <v>213</v>
      </c>
      <c r="B187" s="6" t="s">
        <v>278</v>
      </c>
      <c r="C187" s="6" t="s">
        <v>279</v>
      </c>
      <c r="D187" s="7">
        <v>9.2</v>
      </c>
      <c r="E187" s="7">
        <v>45.4666667</v>
      </c>
      <c r="F187" s="8">
        <v>89</v>
      </c>
      <c r="G187" s="7">
        <f>43/89</f>
        <v>0.48314606741573035</v>
      </c>
      <c r="H187" s="6" t="s">
        <v>12</v>
      </c>
      <c r="I187" s="11" t="s">
        <v>281</v>
      </c>
      <c r="K187" s="20">
        <v>38961</v>
      </c>
    </row>
    <row r="188" spans="1:11" ht="12.75">
      <c r="A188" s="6" t="s">
        <v>213</v>
      </c>
      <c r="B188" s="6" t="s">
        <v>278</v>
      </c>
      <c r="C188" s="6" t="s">
        <v>279</v>
      </c>
      <c r="D188" s="7">
        <v>12.4833333</v>
      </c>
      <c r="E188" s="7">
        <v>41.9</v>
      </c>
      <c r="F188" s="8">
        <v>65</v>
      </c>
      <c r="G188" s="7">
        <f>53/65</f>
        <v>0.8153846153846154</v>
      </c>
      <c r="H188" s="6" t="s">
        <v>12</v>
      </c>
      <c r="I188" s="11" t="s">
        <v>281</v>
      </c>
      <c r="K188" s="20">
        <v>38961</v>
      </c>
    </row>
    <row r="189" spans="1:11" ht="12.75">
      <c r="A189" s="6" t="s">
        <v>213</v>
      </c>
      <c r="B189" s="6" t="s">
        <v>278</v>
      </c>
      <c r="C189" s="6" t="s">
        <v>279</v>
      </c>
      <c r="D189" s="7">
        <v>14.25</v>
      </c>
      <c r="E189" s="7">
        <v>40.8333333</v>
      </c>
      <c r="F189" s="8">
        <v>51</v>
      </c>
      <c r="G189" s="7">
        <f>30/51</f>
        <v>0.5882352941176471</v>
      </c>
      <c r="H189" s="6" t="s">
        <v>12</v>
      </c>
      <c r="I189" s="11" t="s">
        <v>281</v>
      </c>
      <c r="K189" s="20">
        <v>38961</v>
      </c>
    </row>
    <row r="190" spans="1:11" ht="12.75">
      <c r="A190" s="6" t="s">
        <v>213</v>
      </c>
      <c r="B190" s="6" t="s">
        <v>278</v>
      </c>
      <c r="C190" s="6" t="s">
        <v>279</v>
      </c>
      <c r="D190" s="7">
        <v>14.25</v>
      </c>
      <c r="E190" s="7">
        <v>40.8333333</v>
      </c>
      <c r="F190" s="8">
        <v>44</v>
      </c>
      <c r="G190" s="7">
        <v>0.22727272727272727</v>
      </c>
      <c r="H190" s="10" t="s">
        <v>153</v>
      </c>
      <c r="I190" s="9" t="s">
        <v>282</v>
      </c>
      <c r="K190" s="20">
        <v>38961</v>
      </c>
    </row>
    <row r="191" spans="1:11" ht="12.75">
      <c r="A191" s="6" t="s">
        <v>213</v>
      </c>
      <c r="B191" s="6" t="s">
        <v>278</v>
      </c>
      <c r="C191" s="6" t="s">
        <v>279</v>
      </c>
      <c r="D191" s="7">
        <v>9.2</v>
      </c>
      <c r="E191" s="7">
        <v>45.4666667</v>
      </c>
      <c r="F191" s="8">
        <v>20</v>
      </c>
      <c r="G191" s="7">
        <f>5/F191</f>
        <v>0.25</v>
      </c>
      <c r="H191" s="10" t="s">
        <v>16</v>
      </c>
      <c r="I191" s="9" t="s">
        <v>283</v>
      </c>
      <c r="K191" s="20">
        <v>38961</v>
      </c>
    </row>
    <row r="192" spans="1:11" ht="12.75">
      <c r="A192" s="6" t="s">
        <v>213</v>
      </c>
      <c r="B192" s="6" t="s">
        <v>278</v>
      </c>
      <c r="C192" s="6" t="s">
        <v>284</v>
      </c>
      <c r="D192" s="7">
        <v>14.25</v>
      </c>
      <c r="E192" s="7">
        <v>40.8333333</v>
      </c>
      <c r="F192" s="8">
        <f>18+19+5+26+4+20+1+6</f>
        <v>99</v>
      </c>
      <c r="G192" s="7">
        <f>(18+9+9+5+4+1)/F192</f>
        <v>0.46464646464646464</v>
      </c>
      <c r="H192" s="10" t="s">
        <v>16</v>
      </c>
      <c r="I192" s="9" t="s">
        <v>285</v>
      </c>
      <c r="K192" s="20">
        <v>38961</v>
      </c>
    </row>
    <row r="193" spans="1:11" ht="12.75">
      <c r="A193" s="6" t="s">
        <v>213</v>
      </c>
      <c r="B193" s="6" t="s">
        <v>278</v>
      </c>
      <c r="C193" s="6" t="s">
        <v>286</v>
      </c>
      <c r="D193" s="7">
        <v>14.25</v>
      </c>
      <c r="E193" s="7">
        <v>40.833</v>
      </c>
      <c r="F193" s="8">
        <v>9</v>
      </c>
      <c r="G193" s="7">
        <v>0</v>
      </c>
      <c r="H193" s="10" t="s">
        <v>12</v>
      </c>
      <c r="I193" s="6" t="s">
        <v>287</v>
      </c>
      <c r="K193" s="20">
        <v>38961</v>
      </c>
    </row>
    <row r="194" spans="1:11" ht="12.75">
      <c r="A194" s="6" t="s">
        <v>213</v>
      </c>
      <c r="B194" s="6" t="s">
        <v>278</v>
      </c>
      <c r="C194" s="6" t="s">
        <v>288</v>
      </c>
      <c r="D194" s="7">
        <v>7.6666667</v>
      </c>
      <c r="E194" s="7">
        <v>45.05</v>
      </c>
      <c r="F194" s="8">
        <v>208</v>
      </c>
      <c r="G194" s="7">
        <f>102/F194</f>
        <v>0.49038461538461536</v>
      </c>
      <c r="H194" s="10" t="s">
        <v>16</v>
      </c>
      <c r="I194" s="6" t="s">
        <v>289</v>
      </c>
      <c r="K194" s="20">
        <v>38961</v>
      </c>
    </row>
    <row r="195" spans="1:11" ht="12.75">
      <c r="A195" s="6" t="s">
        <v>213</v>
      </c>
      <c r="B195" s="6" t="s">
        <v>278</v>
      </c>
      <c r="C195" s="6" t="s">
        <v>290</v>
      </c>
      <c r="D195" s="7">
        <v>8.5602778</v>
      </c>
      <c r="E195" s="7">
        <v>40.7272222</v>
      </c>
      <c r="F195" s="8">
        <v>50</v>
      </c>
      <c r="G195" s="7">
        <f>7/F195</f>
        <v>0.14</v>
      </c>
      <c r="H195" s="10" t="s">
        <v>16</v>
      </c>
      <c r="I195" s="9" t="s">
        <v>291</v>
      </c>
      <c r="K195" s="20">
        <v>38961</v>
      </c>
    </row>
    <row r="196" spans="1:11" ht="12.75">
      <c r="A196" s="6" t="s">
        <v>213</v>
      </c>
      <c r="B196" s="6" t="s">
        <v>278</v>
      </c>
      <c r="C196" s="6" t="s">
        <v>290</v>
      </c>
      <c r="D196" s="7">
        <v>9.003</v>
      </c>
      <c r="E196" s="7">
        <v>39.4</v>
      </c>
      <c r="F196" s="10">
        <v>47</v>
      </c>
      <c r="G196" s="7">
        <f>7/47</f>
        <v>0.14893617021276595</v>
      </c>
      <c r="H196" s="10" t="s">
        <v>16</v>
      </c>
      <c r="I196" s="9" t="s">
        <v>292</v>
      </c>
      <c r="K196" s="20">
        <v>38961</v>
      </c>
    </row>
    <row r="197" spans="1:11" ht="12.75">
      <c r="A197" s="6" t="s">
        <v>213</v>
      </c>
      <c r="B197" s="6" t="s">
        <v>278</v>
      </c>
      <c r="C197" s="6" t="s">
        <v>290</v>
      </c>
      <c r="D197" s="7">
        <v>9.003</v>
      </c>
      <c r="E197" s="7">
        <v>40.1</v>
      </c>
      <c r="F197" s="10">
        <v>53</v>
      </c>
      <c r="G197" s="7">
        <f>6/53</f>
        <v>0.11320754716981132</v>
      </c>
      <c r="H197" s="10" t="s">
        <v>16</v>
      </c>
      <c r="I197" s="9" t="s">
        <v>292</v>
      </c>
      <c r="K197" s="20">
        <v>38961</v>
      </c>
    </row>
    <row r="198" spans="1:11" ht="12.75">
      <c r="A198" s="6" t="s">
        <v>213</v>
      </c>
      <c r="B198" s="6" t="s">
        <v>278</v>
      </c>
      <c r="C198" s="6" t="s">
        <v>290</v>
      </c>
      <c r="D198" s="7">
        <v>9.003</v>
      </c>
      <c r="E198" s="7">
        <v>40.3</v>
      </c>
      <c r="F198" s="10">
        <v>38</v>
      </c>
      <c r="G198" s="7">
        <f>7/38</f>
        <v>0.18421052631578946</v>
      </c>
      <c r="H198" s="10" t="s">
        <v>16</v>
      </c>
      <c r="I198" s="9" t="s">
        <v>292</v>
      </c>
      <c r="K198" s="20">
        <v>38961</v>
      </c>
    </row>
    <row r="199" spans="1:11" ht="12.75">
      <c r="A199" s="6" t="s">
        <v>213</v>
      </c>
      <c r="B199" s="6" t="s">
        <v>278</v>
      </c>
      <c r="C199" s="6" t="s">
        <v>293</v>
      </c>
      <c r="D199" s="7">
        <v>13.367</v>
      </c>
      <c r="E199" s="7">
        <v>38.1166667</v>
      </c>
      <c r="F199" s="8">
        <v>100</v>
      </c>
      <c r="G199" s="7">
        <f>29/F199</f>
        <v>0.29</v>
      </c>
      <c r="H199" s="10" t="s">
        <v>16</v>
      </c>
      <c r="I199" s="6" t="s">
        <v>294</v>
      </c>
      <c r="K199" s="20">
        <v>38961</v>
      </c>
    </row>
    <row r="200" spans="1:11" ht="12.75">
      <c r="A200" s="6" t="s">
        <v>213</v>
      </c>
      <c r="B200" s="6" t="s">
        <v>295</v>
      </c>
      <c r="C200" s="6" t="s">
        <v>296</v>
      </c>
      <c r="D200" s="7">
        <v>23.1333333</v>
      </c>
      <c r="E200" s="7">
        <v>52.0333333</v>
      </c>
      <c r="F200" s="8">
        <v>35</v>
      </c>
      <c r="G200" s="7">
        <f>22/F200</f>
        <v>0.6285714285714286</v>
      </c>
      <c r="H200" s="10" t="s">
        <v>16</v>
      </c>
      <c r="I200" s="9" t="s">
        <v>297</v>
      </c>
      <c r="K200" s="20">
        <v>38961</v>
      </c>
    </row>
    <row r="201" spans="1:11" ht="12.75">
      <c r="A201" s="6" t="s">
        <v>213</v>
      </c>
      <c r="B201" s="6" t="s">
        <v>295</v>
      </c>
      <c r="C201" s="6" t="s">
        <v>298</v>
      </c>
      <c r="D201" s="7">
        <v>22.35</v>
      </c>
      <c r="E201" s="7">
        <v>53.8333333</v>
      </c>
      <c r="F201" s="8">
        <v>34</v>
      </c>
      <c r="G201" s="7">
        <f>20/F201</f>
        <v>0.5882352941176471</v>
      </c>
      <c r="H201" s="10" t="s">
        <v>16</v>
      </c>
      <c r="I201" s="9" t="s">
        <v>297</v>
      </c>
      <c r="K201" s="20">
        <v>38961</v>
      </c>
    </row>
    <row r="202" spans="1:11" ht="12.75">
      <c r="A202" s="6" t="s">
        <v>213</v>
      </c>
      <c r="B202" s="6" t="s">
        <v>295</v>
      </c>
      <c r="C202" s="6" t="s">
        <v>299</v>
      </c>
      <c r="D202" s="7">
        <v>21</v>
      </c>
      <c r="E202" s="7">
        <v>52.25</v>
      </c>
      <c r="F202" s="8">
        <v>21</v>
      </c>
      <c r="G202" s="7">
        <f>15/F202</f>
        <v>0.7142857142857143</v>
      </c>
      <c r="H202" s="10" t="s">
        <v>12</v>
      </c>
      <c r="I202" s="9" t="s">
        <v>240</v>
      </c>
      <c r="K202" s="20">
        <v>38961</v>
      </c>
    </row>
    <row r="203" spans="1:11" ht="12.75">
      <c r="A203" s="6" t="s">
        <v>213</v>
      </c>
      <c r="B203" s="6" t="s">
        <v>295</v>
      </c>
      <c r="C203" s="6" t="s">
        <v>299</v>
      </c>
      <c r="D203" s="7">
        <v>19</v>
      </c>
      <c r="E203" s="7">
        <v>51.7333333</v>
      </c>
      <c r="F203" s="8">
        <v>29</v>
      </c>
      <c r="G203" s="7">
        <f>18/F203</f>
        <v>0.6206896551724138</v>
      </c>
      <c r="H203" s="10" t="s">
        <v>16</v>
      </c>
      <c r="I203" s="9" t="s">
        <v>297</v>
      </c>
      <c r="K203" s="20">
        <v>38961</v>
      </c>
    </row>
    <row r="204" spans="1:11" ht="12.75">
      <c r="A204" s="6" t="s">
        <v>213</v>
      </c>
      <c r="B204" s="6" t="s">
        <v>295</v>
      </c>
      <c r="C204" s="6" t="s">
        <v>299</v>
      </c>
      <c r="D204" s="7">
        <v>19.3666667</v>
      </c>
      <c r="E204" s="7">
        <v>52.2333333</v>
      </c>
      <c r="F204" s="8">
        <v>92</v>
      </c>
      <c r="G204" s="7">
        <f>58/F204</f>
        <v>0.6304347826086957</v>
      </c>
      <c r="H204" s="10" t="s">
        <v>16</v>
      </c>
      <c r="I204" s="9" t="s">
        <v>297</v>
      </c>
      <c r="K204" s="20">
        <v>38961</v>
      </c>
    </row>
    <row r="205" spans="1:11" ht="12.75">
      <c r="A205" s="6" t="s">
        <v>213</v>
      </c>
      <c r="B205" s="6" t="s">
        <v>295</v>
      </c>
      <c r="C205" s="6" t="s">
        <v>299</v>
      </c>
      <c r="D205" s="7">
        <v>19.3666667</v>
      </c>
      <c r="E205" s="7">
        <v>52.2333333</v>
      </c>
      <c r="F205" s="8">
        <v>85</v>
      </c>
      <c r="G205" s="7">
        <f>54/F205</f>
        <v>0.6352941176470588</v>
      </c>
      <c r="H205" s="10" t="s">
        <v>16</v>
      </c>
      <c r="I205" s="9" t="s">
        <v>297</v>
      </c>
      <c r="K205" s="20">
        <v>38961</v>
      </c>
    </row>
    <row r="206" spans="1:11" ht="12.75">
      <c r="A206" s="6" t="s">
        <v>213</v>
      </c>
      <c r="B206" s="6" t="s">
        <v>174</v>
      </c>
      <c r="C206" s="6" t="s">
        <v>300</v>
      </c>
      <c r="D206" s="7">
        <v>32</v>
      </c>
      <c r="E206" s="7">
        <v>68</v>
      </c>
      <c r="F206" s="8">
        <v>50</v>
      </c>
      <c r="G206" s="7">
        <f>26/F206</f>
        <v>0.52</v>
      </c>
      <c r="H206" s="10" t="s">
        <v>12</v>
      </c>
      <c r="I206" s="9" t="s">
        <v>176</v>
      </c>
      <c r="K206" s="20">
        <v>38961</v>
      </c>
    </row>
    <row r="207" spans="1:11" ht="12.75">
      <c r="A207" s="6" t="s">
        <v>213</v>
      </c>
      <c r="B207" s="6" t="s">
        <v>174</v>
      </c>
      <c r="C207" s="6" t="s">
        <v>301</v>
      </c>
      <c r="D207" s="7">
        <v>32</v>
      </c>
      <c r="E207" s="7">
        <v>68</v>
      </c>
      <c r="F207" s="8">
        <v>112</v>
      </c>
      <c r="G207" s="7">
        <f>56/F207</f>
        <v>0.5</v>
      </c>
      <c r="H207" s="10" t="s">
        <v>12</v>
      </c>
      <c r="I207" s="9" t="s">
        <v>176</v>
      </c>
      <c r="K207" s="20">
        <v>38961</v>
      </c>
    </row>
    <row r="208" spans="1:11" ht="12.75">
      <c r="A208" s="6" t="s">
        <v>213</v>
      </c>
      <c r="B208" s="6" t="s">
        <v>174</v>
      </c>
      <c r="C208" s="6" t="s">
        <v>180</v>
      </c>
      <c r="D208" s="7">
        <v>32</v>
      </c>
      <c r="E208" s="7">
        <v>68</v>
      </c>
      <c r="F208" s="8">
        <v>75</v>
      </c>
      <c r="G208" s="7">
        <f>31/F208</f>
        <v>0.41333333333333333</v>
      </c>
      <c r="H208" s="10" t="s">
        <v>12</v>
      </c>
      <c r="I208" s="9" t="s">
        <v>176</v>
      </c>
      <c r="K208" s="20">
        <v>38961</v>
      </c>
    </row>
    <row r="209" spans="1:11" ht="12.75">
      <c r="A209" s="6" t="s">
        <v>213</v>
      </c>
      <c r="B209" s="6" t="s">
        <v>302</v>
      </c>
      <c r="C209" s="6" t="s">
        <v>303</v>
      </c>
      <c r="D209" s="7">
        <v>-8.55</v>
      </c>
      <c r="E209" s="7">
        <v>42.8833333</v>
      </c>
      <c r="F209" s="8">
        <f>138+137+63</f>
        <v>338</v>
      </c>
      <c r="G209" s="7">
        <f>(91+84+48)/F209</f>
        <v>0.6597633136094675</v>
      </c>
      <c r="H209" s="10" t="s">
        <v>16</v>
      </c>
      <c r="I209" s="9" t="s">
        <v>304</v>
      </c>
      <c r="K209" s="20">
        <v>38961</v>
      </c>
    </row>
    <row r="210" spans="1:11" ht="12.75">
      <c r="A210" s="6" t="s">
        <v>213</v>
      </c>
      <c r="B210" s="6" t="s">
        <v>305</v>
      </c>
      <c r="C210" s="6" t="s">
        <v>306</v>
      </c>
      <c r="D210" s="7">
        <v>-3.2</v>
      </c>
      <c r="E210" s="7">
        <v>55.95</v>
      </c>
      <c r="F210" s="8">
        <v>150</v>
      </c>
      <c r="G210" s="7">
        <f>(25+31+33+11+22+21)/F210</f>
        <v>0.9533333333333334</v>
      </c>
      <c r="H210" s="10" t="s">
        <v>12</v>
      </c>
      <c r="I210" s="6" t="s">
        <v>307</v>
      </c>
      <c r="K210" s="20">
        <v>38961</v>
      </c>
    </row>
    <row r="211" spans="1:11" ht="12.75">
      <c r="A211" s="6" t="s">
        <v>213</v>
      </c>
      <c r="B211" s="6" t="s">
        <v>305</v>
      </c>
      <c r="C211" s="6" t="s">
        <v>308</v>
      </c>
      <c r="D211" s="7">
        <v>-1.25</v>
      </c>
      <c r="E211" s="7">
        <v>51.75</v>
      </c>
      <c r="F211" s="8">
        <v>75</v>
      </c>
      <c r="G211" s="7">
        <f>71/F211</f>
        <v>0.9466666666666667</v>
      </c>
      <c r="H211" s="10" t="s">
        <v>153</v>
      </c>
      <c r="I211" s="9" t="s">
        <v>309</v>
      </c>
      <c r="K211" s="20">
        <v>38961</v>
      </c>
    </row>
    <row r="212" spans="1:11" ht="12.75">
      <c r="A212" s="6" t="s">
        <v>213</v>
      </c>
      <c r="B212" s="6" t="s">
        <v>305</v>
      </c>
      <c r="C212" s="6" t="s">
        <v>310</v>
      </c>
      <c r="D212" s="7">
        <v>-1.9166667</v>
      </c>
      <c r="E212" s="7">
        <v>52.4666667</v>
      </c>
      <c r="F212" s="8">
        <v>67</v>
      </c>
      <c r="G212" s="7">
        <v>0.97</v>
      </c>
      <c r="H212" s="10" t="s">
        <v>153</v>
      </c>
      <c r="I212" s="9" t="s">
        <v>311</v>
      </c>
      <c r="K212" s="20">
        <v>38961</v>
      </c>
    </row>
    <row r="213" spans="1:11" ht="12.75">
      <c r="A213" s="6" t="s">
        <v>312</v>
      </c>
      <c r="B213" s="6" t="s">
        <v>313</v>
      </c>
      <c r="C213" s="6" t="s">
        <v>314</v>
      </c>
      <c r="D213" s="7">
        <v>69.1833333</v>
      </c>
      <c r="E213" s="7">
        <v>34.5166667</v>
      </c>
      <c r="F213" s="8">
        <v>10</v>
      </c>
      <c r="G213" s="7">
        <f>2/F213</f>
        <v>0.2</v>
      </c>
      <c r="H213" s="10" t="s">
        <v>12</v>
      </c>
      <c r="I213" s="9" t="s">
        <v>315</v>
      </c>
      <c r="K213" s="20">
        <v>38961</v>
      </c>
    </row>
    <row r="214" spans="1:11" ht="12.75">
      <c r="A214" s="6" t="s">
        <v>312</v>
      </c>
      <c r="B214" s="6" t="s">
        <v>313</v>
      </c>
      <c r="C214" s="6" t="s">
        <v>316</v>
      </c>
      <c r="D214" s="7">
        <v>69.1833333</v>
      </c>
      <c r="E214" s="7">
        <v>34.5166667</v>
      </c>
      <c r="F214" s="8">
        <v>34</v>
      </c>
      <c r="G214" s="7">
        <f>8/F214</f>
        <v>0.23529411764705882</v>
      </c>
      <c r="H214" s="10" t="s">
        <v>12</v>
      </c>
      <c r="I214" s="9" t="s">
        <v>315</v>
      </c>
      <c r="K214" s="20">
        <v>38961</v>
      </c>
    </row>
    <row r="215" spans="1:11" ht="12.75">
      <c r="A215" s="6" t="s">
        <v>312</v>
      </c>
      <c r="B215" s="6" t="s">
        <v>313</v>
      </c>
      <c r="C215" s="6" t="s">
        <v>317</v>
      </c>
      <c r="D215" s="7">
        <v>71</v>
      </c>
      <c r="E215" s="7">
        <v>36</v>
      </c>
      <c r="F215" s="8">
        <v>60</v>
      </c>
      <c r="G215" s="7">
        <f>8/F215</f>
        <v>0.13333333333333333</v>
      </c>
      <c r="H215" s="10" t="s">
        <v>12</v>
      </c>
      <c r="I215" s="9" t="s">
        <v>315</v>
      </c>
      <c r="K215" s="20">
        <v>38961</v>
      </c>
    </row>
    <row r="216" spans="1:11" ht="12.75">
      <c r="A216" s="6" t="s">
        <v>312</v>
      </c>
      <c r="B216" s="6" t="s">
        <v>313</v>
      </c>
      <c r="C216" s="6" t="s">
        <v>318</v>
      </c>
      <c r="D216" s="7">
        <v>69.1833333</v>
      </c>
      <c r="E216" s="7">
        <v>34.5166667</v>
      </c>
      <c r="F216" s="8">
        <v>71</v>
      </c>
      <c r="G216" s="7">
        <f>15/F216</f>
        <v>0.2112676056338028</v>
      </c>
      <c r="H216" s="10" t="s">
        <v>12</v>
      </c>
      <c r="I216" s="9" t="s">
        <v>315</v>
      </c>
      <c r="K216" s="20">
        <v>38961</v>
      </c>
    </row>
    <row r="217" spans="1:11" ht="12.75">
      <c r="A217" s="6" t="s">
        <v>312</v>
      </c>
      <c r="B217" s="6" t="s">
        <v>313</v>
      </c>
      <c r="C217" s="6" t="s">
        <v>319</v>
      </c>
      <c r="D217" s="7">
        <v>69.1833333</v>
      </c>
      <c r="E217" s="7">
        <v>34.5166667</v>
      </c>
      <c r="F217" s="8">
        <v>79</v>
      </c>
      <c r="G217" s="7">
        <f>14/F217</f>
        <v>0.17721518987341772</v>
      </c>
      <c r="H217" s="10" t="s">
        <v>12</v>
      </c>
      <c r="I217" s="9" t="s">
        <v>315</v>
      </c>
      <c r="K217" s="20">
        <v>38961</v>
      </c>
    </row>
    <row r="218" spans="1:11" ht="12.75">
      <c r="A218" s="6" t="s">
        <v>312</v>
      </c>
      <c r="B218" s="6" t="s">
        <v>313</v>
      </c>
      <c r="C218" s="6" t="s">
        <v>320</v>
      </c>
      <c r="D218" s="7">
        <v>69.1833333</v>
      </c>
      <c r="E218" s="7">
        <v>34.5166667</v>
      </c>
      <c r="F218" s="8">
        <v>16</v>
      </c>
      <c r="G218" s="7">
        <f>0/F218</f>
        <v>0</v>
      </c>
      <c r="H218" s="10" t="s">
        <v>12</v>
      </c>
      <c r="I218" s="9" t="s">
        <v>315</v>
      </c>
      <c r="K218" s="20">
        <v>38961</v>
      </c>
    </row>
    <row r="219" spans="1:11" ht="12.75">
      <c r="A219" s="6" t="s">
        <v>312</v>
      </c>
      <c r="B219" s="6" t="s">
        <v>321</v>
      </c>
      <c r="C219" s="6" t="s">
        <v>322</v>
      </c>
      <c r="D219" s="7">
        <v>51.424</v>
      </c>
      <c r="E219" s="7">
        <v>35.6719444</v>
      </c>
      <c r="F219" s="8">
        <v>21</v>
      </c>
      <c r="G219" s="7">
        <f>3/F219</f>
        <v>0.14285714285714285</v>
      </c>
      <c r="H219" s="10" t="s">
        <v>12</v>
      </c>
      <c r="I219" s="9" t="s">
        <v>323</v>
      </c>
      <c r="K219" s="20">
        <v>38961</v>
      </c>
    </row>
    <row r="220" spans="1:11" ht="12.75">
      <c r="A220" s="6" t="s">
        <v>312</v>
      </c>
      <c r="B220" s="6" t="s">
        <v>324</v>
      </c>
      <c r="C220" s="6" t="s">
        <v>325</v>
      </c>
      <c r="D220" s="7">
        <v>34.9502778</v>
      </c>
      <c r="E220" s="7">
        <v>32.2327778</v>
      </c>
      <c r="F220" s="8">
        <v>67</v>
      </c>
      <c r="G220" s="7">
        <v>0.194</v>
      </c>
      <c r="H220" s="6" t="s">
        <v>12</v>
      </c>
      <c r="I220" s="11" t="s">
        <v>326</v>
      </c>
      <c r="K220" s="20">
        <v>38961</v>
      </c>
    </row>
    <row r="221" spans="1:11" ht="12" customHeight="1">
      <c r="A221" s="6" t="s">
        <v>312</v>
      </c>
      <c r="B221" s="6" t="s">
        <v>327</v>
      </c>
      <c r="C221" s="6" t="s">
        <v>328</v>
      </c>
      <c r="D221" s="7">
        <v>35.933</v>
      </c>
      <c r="E221" s="7">
        <v>31.95</v>
      </c>
      <c r="F221" s="8">
        <v>148</v>
      </c>
      <c r="G221" s="7">
        <f>37/F221</f>
        <v>0.25</v>
      </c>
      <c r="H221" s="10" t="s">
        <v>16</v>
      </c>
      <c r="I221" s="9" t="s">
        <v>329</v>
      </c>
      <c r="K221" s="20">
        <v>38961</v>
      </c>
    </row>
    <row r="222" spans="1:11" ht="12.75">
      <c r="A222" s="6" t="s">
        <v>312</v>
      </c>
      <c r="B222" s="6" t="s">
        <v>327</v>
      </c>
      <c r="C222" s="6" t="s">
        <v>330</v>
      </c>
      <c r="D222" s="7">
        <v>35.933</v>
      </c>
      <c r="E222" s="7">
        <v>31.95</v>
      </c>
      <c r="F222" s="8">
        <v>56</v>
      </c>
      <c r="G222" s="7">
        <f>13/F222</f>
        <v>0.23214285714285715</v>
      </c>
      <c r="H222" s="10" t="s">
        <v>12</v>
      </c>
      <c r="I222" s="9" t="s">
        <v>331</v>
      </c>
      <c r="K222" s="20">
        <v>38961</v>
      </c>
    </row>
    <row r="223" spans="1:11" ht="12.75">
      <c r="A223" s="6" t="s">
        <v>312</v>
      </c>
      <c r="B223" s="6" t="s">
        <v>327</v>
      </c>
      <c r="C223" s="6" t="s">
        <v>332</v>
      </c>
      <c r="D223" s="7">
        <v>35.933</v>
      </c>
      <c r="E223" s="7">
        <v>31.95</v>
      </c>
      <c r="F223" s="8">
        <v>162</v>
      </c>
      <c r="G223" s="7">
        <f>123/F223</f>
        <v>0.7592592592592593</v>
      </c>
      <c r="H223" s="10" t="s">
        <v>16</v>
      </c>
      <c r="I223" s="9" t="s">
        <v>329</v>
      </c>
      <c r="K223" s="20">
        <v>38961</v>
      </c>
    </row>
    <row r="224" spans="1:11" ht="12.75">
      <c r="A224" s="6" t="s">
        <v>312</v>
      </c>
      <c r="B224" s="6" t="s">
        <v>333</v>
      </c>
      <c r="C224" s="6" t="s">
        <v>334</v>
      </c>
      <c r="D224" s="7">
        <v>47.978</v>
      </c>
      <c r="E224" s="7">
        <v>29.37</v>
      </c>
      <c r="F224" s="10">
        <v>70</v>
      </c>
      <c r="G224" s="7">
        <f>37/F224</f>
        <v>0.5285714285714286</v>
      </c>
      <c r="H224" s="10" t="s">
        <v>16</v>
      </c>
      <c r="I224" s="9" t="s">
        <v>335</v>
      </c>
      <c r="K224" s="20">
        <v>38961</v>
      </c>
    </row>
    <row r="225" spans="1:11" ht="12.75">
      <c r="A225" s="6" t="s">
        <v>312</v>
      </c>
      <c r="B225" s="6" t="s">
        <v>333</v>
      </c>
      <c r="C225" s="6" t="s">
        <v>336</v>
      </c>
      <c r="D225" s="7">
        <v>47.978</v>
      </c>
      <c r="E225" s="7">
        <v>29.37</v>
      </c>
      <c r="F225" s="10">
        <v>79</v>
      </c>
      <c r="G225" s="7">
        <f>33/F225</f>
        <v>0.4177215189873418</v>
      </c>
      <c r="H225" s="10" t="s">
        <v>16</v>
      </c>
      <c r="I225" s="9" t="s">
        <v>335</v>
      </c>
      <c r="K225" s="20">
        <v>38961</v>
      </c>
    </row>
    <row r="226" spans="1:11" ht="12.75">
      <c r="A226" s="6" t="s">
        <v>312</v>
      </c>
      <c r="B226" s="6" t="s">
        <v>337</v>
      </c>
      <c r="C226" s="6" t="s">
        <v>338</v>
      </c>
      <c r="D226" s="7">
        <v>35.51</v>
      </c>
      <c r="E226" s="7">
        <v>33.8719444</v>
      </c>
      <c r="F226" s="8">
        <v>74</v>
      </c>
      <c r="G226" s="7">
        <f>16/F226</f>
        <v>0.21621621621621623</v>
      </c>
      <c r="H226" s="10" t="s">
        <v>12</v>
      </c>
      <c r="I226" s="9" t="s">
        <v>339</v>
      </c>
      <c r="K226" s="20">
        <v>38961</v>
      </c>
    </row>
    <row r="227" spans="1:11" ht="12.75">
      <c r="A227" s="6" t="s">
        <v>312</v>
      </c>
      <c r="B227" s="6" t="s">
        <v>164</v>
      </c>
      <c r="C227" s="6" t="s">
        <v>172</v>
      </c>
      <c r="D227" s="7">
        <v>73.067</v>
      </c>
      <c r="E227" s="7">
        <v>33.6</v>
      </c>
      <c r="F227" s="8">
        <v>53</v>
      </c>
      <c r="G227" s="7">
        <v>0.55</v>
      </c>
      <c r="H227" s="6" t="s">
        <v>12</v>
      </c>
      <c r="I227" s="11" t="s">
        <v>340</v>
      </c>
      <c r="K227" s="20">
        <v>38961</v>
      </c>
    </row>
    <row r="228" spans="1:11" ht="12.75">
      <c r="A228" s="6" t="s">
        <v>312</v>
      </c>
      <c r="B228" s="6" t="s">
        <v>341</v>
      </c>
      <c r="C228" s="6" t="s">
        <v>325</v>
      </c>
      <c r="D228" s="7">
        <v>50.1141667</v>
      </c>
      <c r="E228" s="7">
        <v>26.4258333</v>
      </c>
      <c r="F228" s="8">
        <v>109</v>
      </c>
      <c r="G228" s="7">
        <v>0.43</v>
      </c>
      <c r="H228" s="10" t="s">
        <v>16</v>
      </c>
      <c r="I228" s="6" t="s">
        <v>342</v>
      </c>
      <c r="K228" s="20">
        <v>38961</v>
      </c>
    </row>
    <row r="229" spans="1:11" ht="12.75">
      <c r="A229" s="6" t="s">
        <v>312</v>
      </c>
      <c r="B229" s="6" t="s">
        <v>341</v>
      </c>
      <c r="C229" s="6" t="s">
        <v>343</v>
      </c>
      <c r="D229" s="7">
        <v>50.1141667</v>
      </c>
      <c r="E229" s="7">
        <v>26.4258333</v>
      </c>
      <c r="F229" s="8">
        <v>21</v>
      </c>
      <c r="G229" s="7">
        <v>0.81</v>
      </c>
      <c r="H229" s="10" t="s">
        <v>16</v>
      </c>
      <c r="I229" s="6" t="s">
        <v>342</v>
      </c>
      <c r="K229" s="20">
        <v>38961</v>
      </c>
    </row>
    <row r="230" spans="1:11" ht="12.75">
      <c r="A230" s="6" t="s">
        <v>312</v>
      </c>
      <c r="B230" s="6" t="s">
        <v>341</v>
      </c>
      <c r="C230" s="6" t="s">
        <v>344</v>
      </c>
      <c r="D230" s="7">
        <v>46.773</v>
      </c>
      <c r="E230" s="7">
        <v>24.641</v>
      </c>
      <c r="F230" s="8">
        <v>14</v>
      </c>
      <c r="G230" s="7">
        <v>0.857</v>
      </c>
      <c r="H230" s="10" t="s">
        <v>12</v>
      </c>
      <c r="I230" s="6" t="s">
        <v>345</v>
      </c>
      <c r="K230" s="20">
        <v>38961</v>
      </c>
    </row>
    <row r="231" spans="1:11" ht="12.75">
      <c r="A231" s="6" t="s">
        <v>312</v>
      </c>
      <c r="B231" s="6" t="s">
        <v>341</v>
      </c>
      <c r="C231" s="6" t="s">
        <v>346</v>
      </c>
      <c r="D231" s="7">
        <v>50.1141667</v>
      </c>
      <c r="E231" s="7">
        <v>26.4258333</v>
      </c>
      <c r="F231" s="8">
        <v>17</v>
      </c>
      <c r="G231" s="7">
        <v>0.53</v>
      </c>
      <c r="H231" s="10" t="s">
        <v>16</v>
      </c>
      <c r="I231" s="6" t="s">
        <v>342</v>
      </c>
      <c r="K231" s="20">
        <v>38961</v>
      </c>
    </row>
    <row r="232" spans="1:11" ht="12.75">
      <c r="A232" s="6" t="s">
        <v>312</v>
      </c>
      <c r="B232" s="6" t="s">
        <v>347</v>
      </c>
      <c r="C232" s="6" t="s">
        <v>348</v>
      </c>
      <c r="D232" s="7">
        <v>39.5</v>
      </c>
      <c r="E232" s="7">
        <v>34</v>
      </c>
      <c r="F232" s="8">
        <v>104</v>
      </c>
      <c r="G232" s="7">
        <f>30/F232</f>
        <v>0.28846153846153844</v>
      </c>
      <c r="H232" s="10" t="s">
        <v>16</v>
      </c>
      <c r="I232" s="6" t="s">
        <v>57</v>
      </c>
      <c r="K232" s="20">
        <v>38961</v>
      </c>
    </row>
    <row r="233" spans="1:11" ht="12.75">
      <c r="A233" s="6" t="s">
        <v>312</v>
      </c>
      <c r="B233" s="6" t="s">
        <v>347</v>
      </c>
      <c r="C233" s="6" t="s">
        <v>349</v>
      </c>
      <c r="D233" s="7">
        <v>39.5</v>
      </c>
      <c r="E233" s="7">
        <v>40</v>
      </c>
      <c r="F233" s="8">
        <v>122</v>
      </c>
      <c r="G233" s="7">
        <f>32/F233</f>
        <v>0.26229508196721313</v>
      </c>
      <c r="H233" s="10" t="s">
        <v>16</v>
      </c>
      <c r="I233" s="6" t="s">
        <v>57</v>
      </c>
      <c r="K233" s="20">
        <v>38961</v>
      </c>
    </row>
    <row r="234" spans="1:11" ht="12.75">
      <c r="A234" s="6" t="s">
        <v>312</v>
      </c>
      <c r="B234" s="6" t="s">
        <v>347</v>
      </c>
      <c r="C234" s="6" t="s">
        <v>350</v>
      </c>
      <c r="D234" s="7">
        <v>34</v>
      </c>
      <c r="E234" s="7">
        <v>41.5</v>
      </c>
      <c r="F234" s="8">
        <v>64</v>
      </c>
      <c r="G234" s="7">
        <f>20/F234</f>
        <v>0.3125</v>
      </c>
      <c r="H234" s="10" t="s">
        <v>16</v>
      </c>
      <c r="I234" s="6" t="s">
        <v>57</v>
      </c>
      <c r="K234" s="20">
        <v>38961</v>
      </c>
    </row>
    <row r="235" spans="1:11" ht="12.75">
      <c r="A235" s="6" t="s">
        <v>312</v>
      </c>
      <c r="B235" s="6" t="s">
        <v>347</v>
      </c>
      <c r="C235" s="6" t="s">
        <v>351</v>
      </c>
      <c r="D235" s="7">
        <v>33</v>
      </c>
      <c r="E235" s="7">
        <v>36.5</v>
      </c>
      <c r="F235" s="8">
        <v>54</v>
      </c>
      <c r="G235" s="7">
        <f>15/F235</f>
        <v>0.2777777777777778</v>
      </c>
      <c r="H235" s="10" t="s">
        <v>16</v>
      </c>
      <c r="I235" s="6" t="s">
        <v>57</v>
      </c>
      <c r="K235" s="20">
        <v>38961</v>
      </c>
    </row>
    <row r="236" spans="1:11" ht="12.75">
      <c r="A236" s="6" t="s">
        <v>312</v>
      </c>
      <c r="B236" s="6" t="s">
        <v>347</v>
      </c>
      <c r="C236" s="6" t="s">
        <v>352</v>
      </c>
      <c r="D236" s="7">
        <v>32.8644444</v>
      </c>
      <c r="E236" s="7">
        <v>39.9272222</v>
      </c>
      <c r="F236" s="8">
        <v>30</v>
      </c>
      <c r="G236" s="7">
        <f>19/30</f>
        <v>0.6333333333333333</v>
      </c>
      <c r="H236" s="6" t="s">
        <v>12</v>
      </c>
      <c r="I236" s="9" t="s">
        <v>353</v>
      </c>
      <c r="K236" s="20">
        <v>38961</v>
      </c>
    </row>
    <row r="237" spans="1:11" ht="12.75">
      <c r="A237" s="6" t="s">
        <v>312</v>
      </c>
      <c r="B237" s="6" t="s">
        <v>347</v>
      </c>
      <c r="C237" s="6" t="s">
        <v>354</v>
      </c>
      <c r="D237" s="7">
        <v>28.9647222</v>
      </c>
      <c r="E237" s="7">
        <v>41.0186111</v>
      </c>
      <c r="F237" s="8">
        <v>126</v>
      </c>
      <c r="G237" s="7">
        <f>38/F237</f>
        <v>0.30158730158730157</v>
      </c>
      <c r="H237" s="10" t="s">
        <v>16</v>
      </c>
      <c r="I237" s="6" t="s">
        <v>57</v>
      </c>
      <c r="K237" s="20">
        <v>38961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Yuval Itan</cp:lastModifiedBy>
  <dcterms:created xsi:type="dcterms:W3CDTF">2011-02-01T20:46:10Z</dcterms:created>
  <dcterms:modified xsi:type="dcterms:W3CDTF">2012-04-20T13:57:58Z</dcterms:modified>
  <cp:category/>
  <cp:version/>
  <cp:contentType/>
  <cp:contentStatus/>
</cp:coreProperties>
</file>