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liveuclac-my.sharepoint.com/personal/dmcbega_ucl_ac_uk/Documents/"/>
    </mc:Choice>
  </mc:AlternateContent>
  <xr:revisionPtr revIDLastSave="0" documentId="8_{107CB2F0-EAA4-438F-AF86-D6A14F7ACAF3}" xr6:coauthVersionLast="47" xr6:coauthVersionMax="47" xr10:uidLastSave="{00000000-0000-0000-0000-000000000000}"/>
  <bookViews>
    <workbookView xWindow="4060" yWindow="1420" windowWidth="46340" windowHeight="23560" tabRatio="500" xr2:uid="{00000000-000D-0000-FFFF-FFFF00000000}"/>
    <workbookView xWindow="1540" yWindow="3760" windowWidth="32320" windowHeight="23320" xr2:uid="{4816AFB8-0364-0747-AFAF-D78D737FC102}"/>
  </bookViews>
  <sheets>
    <sheet name="CLN7" sheetId="16" r:id="rId1"/>
    <sheet name="FTD and ALS patients" sheetId="17" r:id="rId2"/>
    <sheet name="Summary - autosomal recessive" sheetId="15" r:id="rId3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" i="15" l="1"/>
  <c r="K7" i="15"/>
  <c r="B4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I10" i="15"/>
  <c r="H10" i="15"/>
  <c r="G10" i="15"/>
  <c r="F10" i="15"/>
  <c r="E10" i="15"/>
  <c r="D10" i="15"/>
  <c r="C10" i="15"/>
  <c r="B10" i="15"/>
  <c r="Q7" i="15"/>
  <c r="P7" i="15"/>
  <c r="O7" i="15"/>
  <c r="N7" i="15"/>
  <c r="M7" i="15"/>
  <c r="J7" i="15"/>
  <c r="I7" i="15"/>
  <c r="H7" i="15"/>
  <c r="G7" i="15"/>
  <c r="F7" i="15"/>
  <c r="E7" i="15"/>
  <c r="D7" i="15"/>
  <c r="C7" i="15"/>
  <c r="B7" i="15"/>
  <c r="G4" i="15"/>
  <c r="F4" i="15"/>
  <c r="E4" i="15"/>
  <c r="D4" i="15"/>
  <c r="C4" i="15"/>
  <c r="B1" i="15"/>
  <c r="A4" i="15"/>
  <c r="A10" i="15"/>
  <c r="A13" i="15"/>
  <c r="A7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tc={41020BB2-84EA-4FD9-AB0C-9A08DD1634CC}</author>
  </authors>
  <commentList>
    <comment ref="A6" authorId="0" shapeId="0" xr:uid="{41020BB2-84EA-4FD9-AB0C-9A08DD1634C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Total is greater than the number of variants, as some of the changes have more than one potential consequence
</t>
      </text>
    </comment>
  </commentList>
</comments>
</file>

<file path=xl/sharedStrings.xml><?xml version="1.0" encoding="utf-8"?>
<sst xmlns="http://schemas.openxmlformats.org/spreadsheetml/2006/main" count="1329" uniqueCount="619">
  <si>
    <t>Gene Symbol</t>
  </si>
  <si>
    <t>MFSD8</t>
  </si>
  <si>
    <t>Notes</t>
  </si>
  <si>
    <t>Gene ID</t>
  </si>
  <si>
    <t>Variants are included on the basis that they occur in a patient and meet at least one of the following criteria</t>
  </si>
  <si>
    <t>Chromosomal Location</t>
  </si>
  <si>
    <t>4q28.2</t>
  </si>
  <si>
    <t>1) if the allele frequency is known, it is &lt;5%; </t>
  </si>
  <si>
    <t>Genomic RefSeqGene</t>
  </si>
  <si>
    <t>NG_008657.1</t>
  </si>
  <si>
    <t>55180 bp</t>
  </si>
  <si>
    <t>2) there is no other molecular basis for the disease; </t>
  </si>
  <si>
    <t>Transcript RefSeq</t>
  </si>
  <si>
    <t>NM_152778.4</t>
  </si>
  <si>
    <t>4562 bp</t>
  </si>
  <si>
    <t>NM_152778.3</t>
  </si>
  <si>
    <t>4597 bp</t>
  </si>
  <si>
    <t>3) they are indicated pathogenic or likely pathogenic on ClinVar; </t>
  </si>
  <si>
    <t>Protein RefSeq</t>
  </si>
  <si>
    <t>NP_689991.1</t>
  </si>
  <si>
    <t>518 aa</t>
  </si>
  <si>
    <t>4) reduction in relevant enzyme activity was reported</t>
  </si>
  <si>
    <t>Summary information</t>
  </si>
  <si>
    <t>See summary tab</t>
  </si>
  <si>
    <t>Recommended mutation nomenclature followed (http://www.hgvs.org/rec.html), checked using VariantValidator (https://variantvalidator.org) and/or Mutalyzer (https://mutalyzer.nl)</t>
  </si>
  <si>
    <t>Updated in May 2024</t>
  </si>
  <si>
    <t>Predicted functional effect is determined using in silico tools such as PolyPhen, Human Splicing Finder, SIFT, PROVEAN</t>
  </si>
  <si>
    <t>Identifier</t>
  </si>
  <si>
    <t>Mutation Location</t>
  </si>
  <si>
    <t>Nucleotide Change</t>
  </si>
  <si>
    <t>Amino Acid Change</t>
  </si>
  <si>
    <t>Type of Mutation - DNA</t>
  </si>
  <si>
    <t>additional mutation info</t>
  </si>
  <si>
    <r>
      <t xml:space="preserve">Predicted functional effect </t>
    </r>
    <r>
      <rPr>
        <b/>
        <i/>
        <sz val="11"/>
        <color rgb="FF000000"/>
        <rFont val="Calibri"/>
        <family val="2"/>
        <scheme val="minor"/>
      </rPr>
      <t>in silico</t>
    </r>
  </si>
  <si>
    <t>clinvar classification</t>
  </si>
  <si>
    <t>rs number</t>
  </si>
  <si>
    <t>contig position (GRCh38.p7)</t>
  </si>
  <si>
    <t>Reference</t>
  </si>
  <si>
    <t>PMID</t>
  </si>
  <si>
    <t>Original description</t>
  </si>
  <si>
    <t>Notes 2</t>
  </si>
  <si>
    <t>Notes 3</t>
  </si>
  <si>
    <t>cln7.001</t>
  </si>
  <si>
    <t>Exon 07</t>
  </si>
  <si>
    <t>c.697A&gt;G</t>
  </si>
  <si>
    <t>p.(Arg233Gly)</t>
  </si>
  <si>
    <t>substitution</t>
  </si>
  <si>
    <t>missense; creation of an exonic ESS site</t>
  </si>
  <si>
    <t>Probably damaging / Potential alteration of splicing.</t>
  </si>
  <si>
    <t>NA</t>
  </si>
  <si>
    <t>Siintola et al., 2007</t>
  </si>
  <si>
    <t>? what the effect of the mutation is</t>
  </si>
  <si>
    <t>cln7.002</t>
  </si>
  <si>
    <t>Intron 08</t>
  </si>
  <si>
    <t>c.754+2T&gt;A</t>
  </si>
  <si>
    <t>Alteration of the WT donor site</t>
  </si>
  <si>
    <t>most probably affecting splicing</t>
  </si>
  <si>
    <t>pathogenic</t>
  </si>
  <si>
    <t>rs587778809</t>
  </si>
  <si>
    <t>Kousi et al., Brain, 2009</t>
  </si>
  <si>
    <t>cln7.003</t>
  </si>
  <si>
    <t>Exon 10</t>
  </si>
  <si>
    <t>c.894T&gt;G</t>
  </si>
  <si>
    <t>p.(Tyr298*)</t>
  </si>
  <si>
    <t>nonsense</t>
  </si>
  <si>
    <t>rs118203977</t>
  </si>
  <si>
    <t>cln7.004</t>
  </si>
  <si>
    <t>c.929G&gt;A</t>
  </si>
  <si>
    <t>p.(Gly310Asp)</t>
  </si>
  <si>
    <t>missense</t>
  </si>
  <si>
    <t>probably damaging</t>
  </si>
  <si>
    <t>rs118203975</t>
  </si>
  <si>
    <t>cln7.005</t>
  </si>
  <si>
    <t>Exon 11</t>
  </si>
  <si>
    <t>c.1102G&gt;C</t>
  </si>
  <si>
    <t>p.(Asp368His)</t>
  </si>
  <si>
    <t>Alteration of the WT donor site; Alteration of an exonic ESE site </t>
  </si>
  <si>
    <t>most probably affecting splicing; Potential alteration of splicing</t>
  </si>
  <si>
    <t>rs727502800</t>
  </si>
  <si>
    <t>Also described as splice defect causing p.Lys333Lysfs*3 by Roosing et al. (2014)</t>
  </si>
  <si>
    <t>cln7.006</t>
  </si>
  <si>
    <t>Exon 12</t>
  </si>
  <si>
    <t>c.1286G&gt;A</t>
  </si>
  <si>
    <t>p.(Gly429Asp)</t>
  </si>
  <si>
    <t>rs118203976</t>
  </si>
  <si>
    <t>cln7.007</t>
  </si>
  <si>
    <t>Exon 03</t>
  </si>
  <si>
    <t>c.103C&gt;T</t>
  </si>
  <si>
    <t>p.(Arg35*)</t>
  </si>
  <si>
    <t>rs749315686</t>
  </si>
  <si>
    <t>Aiello et al., 2009</t>
  </si>
  <si>
    <t>cln7.008</t>
  </si>
  <si>
    <t>c.881C&gt;A</t>
  </si>
  <si>
    <t>p.(Thr294Lys)</t>
  </si>
  <si>
    <t>likely pathogenic</t>
  </si>
  <si>
    <t>rs140948465</t>
  </si>
  <si>
    <t>cln7.009</t>
  </si>
  <si>
    <t>Exon 13</t>
  </si>
  <si>
    <t>c.1393C&gt;T</t>
  </si>
  <si>
    <t>p.(Arg465Trp)</t>
  </si>
  <si>
    <t>rs1043984708</t>
  </si>
  <si>
    <t>cln7.010</t>
  </si>
  <si>
    <t>c.154G&gt;A</t>
  </si>
  <si>
    <t>p.(Gly52Arg)</t>
  </si>
  <si>
    <t>rs779838200</t>
  </si>
  <si>
    <t>cln7.011</t>
  </si>
  <si>
    <t>Intron 09</t>
  </si>
  <si>
    <t xml:space="preserve">c.863+3_863+4insT </t>
  </si>
  <si>
    <t>insertion</t>
  </si>
  <si>
    <t>most probably affecting splicing.</t>
  </si>
  <si>
    <t>rs727502801</t>
  </si>
  <si>
    <t>127932981_127932982insA</t>
  </si>
  <si>
    <t>c.863+3_4insT</t>
  </si>
  <si>
    <t>cln7.012</t>
  </si>
  <si>
    <t>c.1141G&gt;T</t>
  </si>
  <si>
    <t>p.(Glu381*)</t>
  </si>
  <si>
    <t>rs724159970</t>
  </si>
  <si>
    <t>Also seen in FTD patients</t>
  </si>
  <si>
    <t>cln7.013</t>
  </si>
  <si>
    <t>c.1444C&gt;T</t>
  </si>
  <si>
    <t>p.(Arg482*)</t>
  </si>
  <si>
    <t>Pathogenic/Likely pathogenic</t>
  </si>
  <si>
    <t>rs724159971</t>
  </si>
  <si>
    <t>cln7.014</t>
  </si>
  <si>
    <t>Exon 02</t>
  </si>
  <si>
    <t>c.2T&gt;C</t>
  </si>
  <si>
    <t>p.(?)</t>
  </si>
  <si>
    <t>p.(Met1)?</t>
  </si>
  <si>
    <t>HGVS advises that the the change will not be missense involving p.Met1</t>
  </si>
  <si>
    <t>cln7.015</t>
  </si>
  <si>
    <t>c.863+1G&gt;C</t>
  </si>
  <si>
    <t>cln7.016</t>
  </si>
  <si>
    <t>c.627_643del</t>
  </si>
  <si>
    <t>p.(Met209Ilefs*3)</t>
  </si>
  <si>
    <t>deletion</t>
  </si>
  <si>
    <t>frameshift</t>
  </si>
  <si>
    <t>cln7.017</t>
  </si>
  <si>
    <t>Exon 05</t>
  </si>
  <si>
    <t>c.416G&gt;A</t>
  </si>
  <si>
    <t>p.(Arg139His)</t>
  </si>
  <si>
    <t>Pathogenic</t>
  </si>
  <si>
    <t>rs749704755</t>
  </si>
  <si>
    <t>cln7.018</t>
  </si>
  <si>
    <t>Exon 06</t>
  </si>
  <si>
    <t>c.468_469delinsCC</t>
  </si>
  <si>
    <t>p.(Ala157Pro)</t>
  </si>
  <si>
    <t>deletion insertion</t>
  </si>
  <si>
    <t>cln7.019</t>
  </si>
  <si>
    <t>Intron 11</t>
  </si>
  <si>
    <t>c.1103-2del</t>
  </si>
  <si>
    <t>Alteration of the WT acceptor site</t>
  </si>
  <si>
    <t>cln7.020</t>
  </si>
  <si>
    <t>c.259C&gt;T</t>
  </si>
  <si>
    <t>p.(Gln87*)</t>
  </si>
  <si>
    <t>Kousi et al., 2012</t>
  </si>
  <si>
    <t>rs1300341137 is C&gt;A p.(Gln87Lys)</t>
  </si>
  <si>
    <t>cln7.021</t>
  </si>
  <si>
    <t>c.362A&gt;G</t>
  </si>
  <si>
    <t>p.(Tyr121Cys)</t>
  </si>
  <si>
    <t xml:space="preserve">probably damaging </t>
  </si>
  <si>
    <t>Conflicting interpretations of pathogenicity</t>
  </si>
  <si>
    <t>rs118203978</t>
  </si>
  <si>
    <t>Stogmann et al., 2009</t>
  </si>
  <si>
    <t>Frequency is &lt;0.0001%</t>
  </si>
  <si>
    <t>cln7.022</t>
  </si>
  <si>
    <t>c.1340C&gt;T</t>
  </si>
  <si>
    <t>p.(Pro447Leu)</t>
  </si>
  <si>
    <t>rs1194414309 is Pro&gt;Ser change; c.1339C&gt;T</t>
  </si>
  <si>
    <t>previously used for a different variant</t>
  </si>
  <si>
    <t>cln7.023</t>
  </si>
  <si>
    <t>Intron 02</t>
  </si>
  <si>
    <t>c.63-4del</t>
  </si>
  <si>
    <t>No significant splicing motif alteration detected</t>
  </si>
  <si>
    <t>probably no impact on splicing.</t>
  </si>
  <si>
    <t>cln7.024</t>
  </si>
  <si>
    <t>c.1235C&gt;T</t>
  </si>
  <si>
    <t>p.(Pro412Leu)</t>
  </si>
  <si>
    <t>rs267607235</t>
  </si>
  <si>
    <t>Aldahmesh et al, 2009</t>
  </si>
  <si>
    <t>cln7.025</t>
  </si>
  <si>
    <t>c.588del</t>
  </si>
  <si>
    <t>p.(Gly197Valfs*2)</t>
  </si>
  <si>
    <t>F Laranjeira pers comm</t>
  </si>
  <si>
    <t>p.(Gly197fs*1)</t>
  </si>
  <si>
    <t>nomenclature updated</t>
  </si>
  <si>
    <t>cln7.026</t>
  </si>
  <si>
    <t>c.479C&gt;A</t>
  </si>
  <si>
    <t>p.(Thr160Asn)</t>
  </si>
  <si>
    <t>Thr160Ala described; c.478A&gt;G</t>
  </si>
  <si>
    <t>cln7.027</t>
  </si>
  <si>
    <t>c.479C&gt;T</t>
  </si>
  <si>
    <t>p.(Thr160Ile)</t>
  </si>
  <si>
    <t>rs1162750836</t>
  </si>
  <si>
    <t>cln7.028</t>
  </si>
  <si>
    <t>Intron 06</t>
  </si>
  <si>
    <t>c.554-1G&gt;C</t>
  </si>
  <si>
    <t>cln7.029</t>
  </si>
  <si>
    <t>c.754+1G&gt;A</t>
  </si>
  <si>
    <t>cln7.030</t>
  </si>
  <si>
    <t>c.1373C&gt;A</t>
  </si>
  <si>
    <t>p.(Thr458Lys)</t>
  </si>
  <si>
    <t>p.Thr458Ala described; c.1372A&gt;G</t>
  </si>
  <si>
    <t>cln7.031</t>
  </si>
  <si>
    <t>c.1408A&gt;G</t>
  </si>
  <si>
    <t>p.(Met470Val)</t>
  </si>
  <si>
    <t>benign</t>
  </si>
  <si>
    <t>uncertain significance</t>
  </si>
  <si>
    <t>rs764549054</t>
  </si>
  <si>
    <t>Frequency is &lt;0.001%</t>
  </si>
  <si>
    <t>cln7.032</t>
  </si>
  <si>
    <t>c.1394G&gt;A</t>
  </si>
  <si>
    <t>p.(Arg465Gln)</t>
  </si>
  <si>
    <t>rs1275962600</t>
  </si>
  <si>
    <t>cln7.033</t>
  </si>
  <si>
    <t>c.1420C&gt;T</t>
  </si>
  <si>
    <t>p.(Gln474*)</t>
  </si>
  <si>
    <t>cln7.034</t>
  </si>
  <si>
    <t>c.1006G&gt;C</t>
  </si>
  <si>
    <t>p.(Glu336Gln)</t>
  </si>
  <si>
    <t>possibly damaging</t>
  </si>
  <si>
    <t>rs150418024</t>
  </si>
  <si>
    <t>Roosing et al., 2014</t>
  </si>
  <si>
    <t>cln7.035</t>
  </si>
  <si>
    <t>c.472G&gt;A</t>
  </si>
  <si>
    <t>p.(Gly158Ser)</t>
  </si>
  <si>
    <t>Mandel et al., 2014</t>
  </si>
  <si>
    <t>cln7.036</t>
  </si>
  <si>
    <t>c.863+2dup</t>
  </si>
  <si>
    <t>duplication</t>
  </si>
  <si>
    <t>Alteration of the WT donor site; activation of an intronic cryptic donor site</t>
  </si>
  <si>
    <t>A. Simonati, pers comm</t>
  </si>
  <si>
    <t>cln7.037</t>
  </si>
  <si>
    <t>c.1219T&gt;C</t>
  </si>
  <si>
    <t>p.(Trp407Arg)</t>
  </si>
  <si>
    <t>Patino et al., 2015</t>
  </si>
  <si>
    <t>cln7.038</t>
  </si>
  <si>
    <t>c.1361T&gt;C</t>
  </si>
  <si>
    <t>p.(Met454Thr)</t>
  </si>
  <si>
    <t>rs559155109</t>
  </si>
  <si>
    <t>Frequency is &lt;0.1% (occurence is highest in Asian population)</t>
  </si>
  <si>
    <t>cln7.039</t>
  </si>
  <si>
    <t>c.1367G&gt;A</t>
  </si>
  <si>
    <t>p.(Trp456*)</t>
  </si>
  <si>
    <t>R Williams pers comm</t>
  </si>
  <si>
    <t>cln7.040</t>
  </si>
  <si>
    <t>c.233G&gt;A</t>
  </si>
  <si>
    <t>p.(Trp78*)</t>
  </si>
  <si>
    <t>Khan et al</t>
  </si>
  <si>
    <t>cln7.041</t>
  </si>
  <si>
    <t>c.63-1G&gt;A</t>
  </si>
  <si>
    <t>cln7.042</t>
  </si>
  <si>
    <t>c.554-5A&gt;G</t>
  </si>
  <si>
    <t>activation of intronic cryptic acceptor site</t>
  </si>
  <si>
    <t>potential activation of splicing</t>
  </si>
  <si>
    <t>Ren, X-T. et al., 2019</t>
  </si>
  <si>
    <t>cln7.043</t>
  </si>
  <si>
    <t>c.525T &gt; A</t>
  </si>
  <si>
    <t>p.(Cys175*)</t>
  </si>
  <si>
    <t>rs556661896</t>
  </si>
  <si>
    <t xml:space="preserve">Kozina et al., 2018 </t>
  </si>
  <si>
    <t>cln7.044</t>
  </si>
  <si>
    <t>c.325_339del</t>
  </si>
  <si>
    <t>p.(Val109_Ile113del)</t>
  </si>
  <si>
    <t>27943855_127943869del</t>
  </si>
  <si>
    <t>Bereshneh and Garshasbi, 2018</t>
  </si>
  <si>
    <t>cln7.045</t>
  </si>
  <si>
    <t>c.590del</t>
  </si>
  <si>
    <t>Bauwens et al., 2019</t>
  </si>
  <si>
    <t>same predicted effect as cln7.025</t>
  </si>
  <si>
    <t>cln7.046</t>
  </si>
  <si>
    <t>Intron 05</t>
  </si>
  <si>
    <t>c.439+3A&gt;C</t>
  </si>
  <si>
    <t>p.(Ile67Glufs*3)</t>
  </si>
  <si>
    <t>analysis via splice assays shows exon 5 skipping</t>
  </si>
  <si>
    <t>cln7.047</t>
  </si>
  <si>
    <t>c.136_137del</t>
  </si>
  <si>
    <t>p.(Met46fs)</t>
  </si>
  <si>
    <t>127957518-127957519</t>
  </si>
  <si>
    <t>Qiao et al</t>
  </si>
  <si>
    <t>cln7.048</t>
  </si>
  <si>
    <t xml:space="preserve">c.638C&gt;A </t>
  </si>
  <si>
    <t xml:space="preserve">p.(Pro213Gln) </t>
  </si>
  <si>
    <t>Pers comm parent</t>
  </si>
  <si>
    <t>cln7.049</t>
  </si>
  <si>
    <t>Exon 08</t>
  </si>
  <si>
    <t>c.721G&gt;T</t>
  </si>
  <si>
    <t>p.(Gly241*)</t>
  </si>
  <si>
    <t>Kose et al 2021</t>
  </si>
  <si>
    <t>cln7.050</t>
  </si>
  <si>
    <t>c.1093C&gt;T</t>
  </si>
  <si>
    <t>p.(Gln365*)</t>
  </si>
  <si>
    <t>rs904329013</t>
  </si>
  <si>
    <t>cln7.051</t>
  </si>
  <si>
    <t>c.1445G&gt;C</t>
  </si>
  <si>
    <t>p.(Arg482Pro)</t>
  </si>
  <si>
    <t>rs547726489</t>
  </si>
  <si>
    <t>Birtel et al 2018</t>
  </si>
  <si>
    <t>cln7.052</t>
  </si>
  <si>
    <t>??</t>
  </si>
  <si>
    <t>Description of homozygous mutation in patient cln7.122 is incorrect</t>
  </si>
  <si>
    <t xml:space="preserve">p.Ala146Pro change is not c.301G&gt;C </t>
  </si>
  <si>
    <t>Nucleotide c.301 is A, and it is in Tyr100 codon</t>
  </si>
  <si>
    <t>cln7.053</t>
  </si>
  <si>
    <t>c.1310C&gt;A</t>
  </si>
  <si>
    <t>p.(Ser437Tyr)</t>
  </si>
  <si>
    <t>rs1464046484</t>
  </si>
  <si>
    <t>Finezilber, pers comm</t>
  </si>
  <si>
    <t>TOPMED frequency 0.000008</t>
  </si>
  <si>
    <t>cln7.054</t>
  </si>
  <si>
    <t>c.1279G&gt;A</t>
  </si>
  <si>
    <t>p.(Gly427Arg)</t>
  </si>
  <si>
    <t>cln7.055</t>
  </si>
  <si>
    <t>c.750A&gt;G</t>
  </si>
  <si>
    <t>p.(Glu250Glu)</t>
  </si>
  <si>
    <t xml:space="preserve">Alteration of auxiliary sequences : Significant alteration of ESE / ESS motifs ratio
New Acceptor splice site : Activation of a cryptic Acceptor site. </t>
  </si>
  <si>
    <t>Potential alteration of splicing</t>
  </si>
  <si>
    <t>Reith et al. 2022</t>
  </si>
  <si>
    <t xml:space="preserve"> experimentally demonstrated exon skipping</t>
  </si>
  <si>
    <t>cln7.056</t>
  </si>
  <si>
    <t>Intron 08 - Intron 10</t>
  </si>
  <si>
    <t>c.755-2726_998+1981delinsGTA</t>
  </si>
  <si>
    <t>(cannot analyse with HSF)</t>
  </si>
  <si>
    <t>Poncet et al. 2022</t>
  </si>
  <si>
    <t>leads to frameshift</t>
  </si>
  <si>
    <t>cln7.057/ FTD09</t>
  </si>
  <si>
    <t>c.1006G&gt;A</t>
  </si>
  <si>
    <t>p.(Glu336Lys)</t>
  </si>
  <si>
    <t>cln7.058</t>
  </si>
  <si>
    <t>c.1009C&gt;T</t>
  </si>
  <si>
    <t>p.(Arg337Cys)</t>
  </si>
  <si>
    <t>cln7.059</t>
  </si>
  <si>
    <t>c.104G&gt;A</t>
  </si>
  <si>
    <t>p.(Arg35Gln)</t>
  </si>
  <si>
    <t xml:space="preserve">rs146596875
</t>
  </si>
  <si>
    <t>cln7.060</t>
  </si>
  <si>
    <t>c.1066C&gt;T</t>
  </si>
  <si>
    <t>p.(Pro356Ser)</t>
  </si>
  <si>
    <t>conflicting</t>
  </si>
  <si>
    <t>rs756204684</t>
  </si>
  <si>
    <t>Xiang et al. 2021</t>
  </si>
  <si>
    <t>cln7.061</t>
  </si>
  <si>
    <t>intron 11</t>
  </si>
  <si>
    <t>c.1102+2T&gt;C</t>
  </si>
  <si>
    <t>Broken WT Donor Site : Alteration of the WT Donor site</t>
  </si>
  <si>
    <t>cln7.062</t>
  </si>
  <si>
    <t>c.1265C&gt;A</t>
  </si>
  <si>
    <t>p.(Ser422*)</t>
  </si>
  <si>
    <t>cln7.063</t>
  </si>
  <si>
    <t>Exon 04</t>
  </si>
  <si>
    <t>c.155G&gt;C</t>
  </si>
  <si>
    <t>p.(Gly52Ala)</t>
  </si>
  <si>
    <t>cln7.064</t>
  </si>
  <si>
    <t>Intron 10</t>
  </si>
  <si>
    <t>c.998+1669A&gt;G</t>
  </si>
  <si>
    <t>New Donor splice site : Activation of a cryptic Donor site</t>
  </si>
  <si>
    <t>Potential alteration of splicing (cryptic exon activation)</t>
  </si>
  <si>
    <t>experimental demonstration of pseudoexon insertion in transcript</t>
  </si>
  <si>
    <t>cln7.065</t>
  </si>
  <si>
    <t>c.64G&gt;T</t>
  </si>
  <si>
    <t xml:space="preserve"> p.(Glu22*)</t>
  </si>
  <si>
    <t>Substitution</t>
  </si>
  <si>
    <t>rs1560776422</t>
  </si>
  <si>
    <t>g.127957591C&gt;A</t>
  </si>
  <si>
    <t xml:space="preserve">Beckman et al. 2023 </t>
  </si>
  <si>
    <t>cln7.066</t>
  </si>
  <si>
    <t>c.136A&gt;G </t>
  </si>
  <si>
    <t>p.(Met46Val)</t>
  </si>
  <si>
    <t>rs1427310721</t>
  </si>
  <si>
    <t>g.127957519T&gt;C</t>
  </si>
  <si>
    <t>Dozieres-Puyravel et al. 2019</t>
  </si>
  <si>
    <t>cln7.067</t>
  </si>
  <si>
    <t>c.1241_1242insGAAT</t>
  </si>
  <si>
    <t>(p.Ile414Metfs*109)</t>
  </si>
  <si>
    <t>g.127921634_127921635insTCAT</t>
  </si>
  <si>
    <t>Jilani et al. 2019</t>
  </si>
  <si>
    <t>cln7.068</t>
  </si>
  <si>
    <t xml:space="preserve">c.863+4A&gt;G </t>
  </si>
  <si>
    <t>splice acceptor and donor site loss</t>
  </si>
  <si>
    <t>g.127932981T&gt;C</t>
  </si>
  <si>
    <t>Analysed with SpliceAI</t>
  </si>
  <si>
    <t>cln7.069</t>
  </si>
  <si>
    <t>c.616C&gt;T</t>
  </si>
  <si>
    <t>p.(Gln206*)</t>
  </si>
  <si>
    <t>g.127939935G&gt;A</t>
  </si>
  <si>
    <t>Panjeshahi et al. 2023</t>
  </si>
  <si>
    <t>also in Trujillano et al. 2017</t>
  </si>
  <si>
    <t>cln7.070</t>
  </si>
  <si>
    <t>Exon 09</t>
  </si>
  <si>
    <t>c.847T&gt;G</t>
  </si>
  <si>
    <t>p.(Phe283Val)</t>
  </si>
  <si>
    <t>g.127933001A&gt;C</t>
  </si>
  <si>
    <t>cln7.071</t>
  </si>
  <si>
    <t>Intron 04</t>
  </si>
  <si>
    <t>c.198+2T&gt;C</t>
  </si>
  <si>
    <t>rs2148943607</t>
  </si>
  <si>
    <t>g.127949802A&gt;G</t>
  </si>
  <si>
    <t>Messahel pers comm</t>
  </si>
  <si>
    <t>cln7.072</t>
  </si>
  <si>
    <t>c.1325C&gt;A</t>
  </si>
  <si>
    <t>p.(Ser442*)</t>
  </si>
  <si>
    <t>rs953995815</t>
  </si>
  <si>
    <t>g.127921549G&gt;T</t>
  </si>
  <si>
    <t>Rus pers comm</t>
  </si>
  <si>
    <t>cln7.073</t>
  </si>
  <si>
    <t>c.841T&gt;C</t>
  </si>
  <si>
    <t>p.(Phe281Leu)</t>
  </si>
  <si>
    <t>g.127933007A&gt;G</t>
  </si>
  <si>
    <t>cln7.074</t>
  </si>
  <si>
    <t>c.553+5G&gt;A</t>
  </si>
  <si>
    <t>g.127942040C&gt;T</t>
  </si>
  <si>
    <t>Stone et al. 2017</t>
  </si>
  <si>
    <t>cln7.075</t>
  </si>
  <si>
    <t>c.935T&gt;C</t>
  </si>
  <si>
    <t>p.(Ile312Thr)</t>
  </si>
  <si>
    <t>rs556875684</t>
  </si>
  <si>
    <t>g.127930746A&gt;G</t>
  </si>
  <si>
    <t>Puschmann pers comm</t>
  </si>
  <si>
    <t>cln7.076</t>
  </si>
  <si>
    <t>c.499del</t>
  </si>
  <si>
    <t xml:space="preserve"> p.(Ser167Valfs*)</t>
  </si>
  <si>
    <t>g.127942100del</t>
  </si>
  <si>
    <t>Di Fruscio et al. 2015</t>
  </si>
  <si>
    <t>cln7.077</t>
  </si>
  <si>
    <t>c.1439G&gt;T</t>
  </si>
  <si>
    <t xml:space="preserve"> p.(Gly480Val)</t>
  </si>
  <si>
    <t>rs2148837121</t>
  </si>
  <si>
    <t>g.127920748C&gt;A</t>
  </si>
  <si>
    <t>cln7.078</t>
  </si>
  <si>
    <t>c.1390G&gt;A</t>
  </si>
  <si>
    <t>p.(Ala464Thr)</t>
  </si>
  <si>
    <t>g.127920797C&gt;T</t>
  </si>
  <si>
    <t>Kimball et al. 2024</t>
  </si>
  <si>
    <t>cln7.079</t>
  </si>
  <si>
    <t>c.1086del</t>
  </si>
  <si>
    <t>p.(Ile364Tyrfs*)</t>
  </si>
  <si>
    <t>rs1460276679</t>
  </si>
  <si>
    <t>g.127921878del</t>
  </si>
  <si>
    <t>dbSNP calls it indel</t>
  </si>
  <si>
    <t>cln7.080</t>
  </si>
  <si>
    <t>c.268G&gt;C</t>
  </si>
  <si>
    <t>p.(Ala90Pro)</t>
  </si>
  <si>
    <t>rs1553950970</t>
  </si>
  <si>
    <t>g.127943923C&gt;G</t>
  </si>
  <si>
    <t>Gowda et al. 2024</t>
  </si>
  <si>
    <t>cln7.081</t>
  </si>
  <si>
    <t>c.694del</t>
  </si>
  <si>
    <t>p.(Leu232*)</t>
  </si>
  <si>
    <t>g.127939857del</t>
  </si>
  <si>
    <t>Kamate et al. 2021</t>
  </si>
  <si>
    <t>cln7.082</t>
  </si>
  <si>
    <t>Intron 07</t>
  </si>
  <si>
    <t>c.699-1G &gt;A</t>
  </si>
  <si>
    <t>broken WT acceptor; new acceptor site</t>
  </si>
  <si>
    <t>most probably affecting splicing; potential alteration of splicing</t>
  </si>
  <si>
    <t>g.127938839C&gt;T</t>
  </si>
  <si>
    <t>cln7.083</t>
  </si>
  <si>
    <t>Intron 03</t>
  </si>
  <si>
    <t>c.154 +1G&gt;A</t>
  </si>
  <si>
    <t>broken WT donor site</t>
  </si>
  <si>
    <t>g.127957500C&gt;T</t>
  </si>
  <si>
    <t>cln7.084</t>
  </si>
  <si>
    <t>c.638C&gt;A</t>
  </si>
  <si>
    <t>p.(Pro213Gln)</t>
  </si>
  <si>
    <t>g.127939913G&gt;T</t>
  </si>
  <si>
    <t>Ashaat??</t>
  </si>
  <si>
    <t>cln7.085</t>
  </si>
  <si>
    <t>p.(Gln206Ter)</t>
  </si>
  <si>
    <t>rs1209722075</t>
  </si>
  <si>
    <t>Trujillano et al. 2017</t>
  </si>
  <si>
    <t>cln7.086</t>
  </si>
  <si>
    <t>c.863+1G&gt;A</t>
  </si>
  <si>
    <t>rs200319160</t>
  </si>
  <si>
    <t>g.127932984C&gt;T</t>
  </si>
  <si>
    <t>cln7.087</t>
  </si>
  <si>
    <t>c.1053_1055del</t>
  </si>
  <si>
    <t>p.(Phe352del)</t>
  </si>
  <si>
    <t>g.127921910_127921912del</t>
  </si>
  <si>
    <t>Saleh et al. 2024</t>
  </si>
  <si>
    <t>https://doi.org/10.1016/j.pediatrneurol.2024.03.004</t>
  </si>
  <si>
    <t>NM_152778.2:c.154+3389del</t>
  </si>
  <si>
    <t>cln7.088</t>
  </si>
  <si>
    <t>c.154+3390del</t>
  </si>
  <si>
    <t>new acceptor site (activation of cryptic acceptor site)</t>
  </si>
  <si>
    <t>potential alteration of splicing</t>
  </si>
  <si>
    <t>g.127954112del</t>
  </si>
  <si>
    <t>Patients with frontotemporal dementia and ALS were found to have single rare variants of MFSD8.</t>
  </si>
  <si>
    <t>There is no correponding patient record in the database, as no individual details were available.</t>
  </si>
  <si>
    <t>The database does not usually include variants where there is no patient information, however in these cases, an exception has been made.</t>
  </si>
  <si>
    <t>Note that two variants in this table are also on the main tab</t>
  </si>
  <si>
    <r>
      <t xml:space="preserve">Predicted functional effect </t>
    </r>
    <r>
      <rPr>
        <b/>
        <i/>
        <sz val="9"/>
        <color rgb="FF000000"/>
        <rFont val="Calibri"/>
        <family val="2"/>
        <scheme val="minor"/>
      </rPr>
      <t>in silico</t>
    </r>
  </si>
  <si>
    <t>contig position (GRCh38)</t>
  </si>
  <si>
    <t>FTD01</t>
  </si>
  <si>
    <t>c.1475T&gt;C</t>
  </si>
  <si>
    <t>p.(Ile492Thr)</t>
  </si>
  <si>
    <t>Missense</t>
  </si>
  <si>
    <t>rs183448311  </t>
  </si>
  <si>
    <t>Geier et al. 2019</t>
  </si>
  <si>
    <t>A&gt;G</t>
  </si>
  <si>
    <t>FTD02</t>
  </si>
  <si>
    <t>c.1278A&gt;G</t>
  </si>
  <si>
    <t>p.(Ile426Met)</t>
  </si>
  <si>
    <t>rs769272117  </t>
  </si>
  <si>
    <t>T&gt;C</t>
  </si>
  <si>
    <t>FTD03</t>
  </si>
  <si>
    <t>c.1205C&gt;T</t>
  </si>
  <si>
    <t>p.(Ser402Leu)</t>
  </si>
  <si>
    <t>rs200745039  </t>
  </si>
  <si>
    <t>G&gt;A</t>
  </si>
  <si>
    <t>FTD04</t>
  </si>
  <si>
    <t>c.1168C&gt;G</t>
  </si>
  <si>
    <t>p.(Pro390Ala)</t>
  </si>
  <si>
    <t>rs767262517  </t>
  </si>
  <si>
    <t>G&gt;C</t>
  </si>
  <si>
    <t>FTD05</t>
  </si>
  <si>
    <t>c.1153G&gt;C</t>
  </si>
  <si>
    <t>p.(Gly385Arg)</t>
  </si>
  <si>
    <t>Benign</t>
  </si>
  <si>
    <t>rs11098943  </t>
  </si>
  <si>
    <t>C&gt;G</t>
  </si>
  <si>
    <t>FTD06/cln7.012</t>
  </si>
  <si>
    <t>Nonsense</t>
  </si>
  <si>
    <t>rs724159970  </t>
  </si>
  <si>
    <t>C&gt;A</t>
  </si>
  <si>
    <t>FTD07</t>
  </si>
  <si>
    <t>c.1136T&gt;C</t>
  </si>
  <si>
    <t>p.(Phe379Ser)</t>
  </si>
  <si>
    <t>rs191172038  </t>
  </si>
  <si>
    <t>FTD08</t>
  </si>
  <si>
    <t>c.1061T&gt;C</t>
  </si>
  <si>
    <t>p.(Leu354Ser)</t>
  </si>
  <si>
    <t>rs777843146  </t>
  </si>
  <si>
    <t>FTD09/cln7.057</t>
  </si>
  <si>
    <t>rs150418024  </t>
  </si>
  <si>
    <t>C&gt;G change is p.(=)</t>
  </si>
  <si>
    <t>FTD10</t>
  </si>
  <si>
    <t>c.917T&gt;C</t>
  </si>
  <si>
    <t>p.(Val306Ala)</t>
  </si>
  <si>
    <t>rs200971312  </t>
  </si>
  <si>
    <t>FTD11</t>
  </si>
  <si>
    <t>c.831dup</t>
  </si>
  <si>
    <t>p.(Val278fs)</t>
  </si>
  <si>
    <t>Duplication</t>
  </si>
  <si>
    <t>Frameshift</t>
  </si>
  <si>
    <t>pathogenic/likely pathogenic</t>
  </si>
  <si>
    <t>rs775699005  </t>
  </si>
  <si>
    <t>127933017-127933022</t>
  </si>
  <si>
    <t>insA</t>
  </si>
  <si>
    <t>FTD12</t>
  </si>
  <si>
    <t>c.787A&gt;G</t>
  </si>
  <si>
    <t>p.(Asn263Asp)</t>
  </si>
  <si>
    <t>rs374234685  </t>
  </si>
  <si>
    <t>127933061 </t>
  </si>
  <si>
    <t>FTD13</t>
  </si>
  <si>
    <t>c.764A&gt;G</t>
  </si>
  <si>
    <t>p.(Asp255Gly)</t>
  </si>
  <si>
    <t>rs1738433793</t>
  </si>
  <si>
    <t>FTD14</t>
  </si>
  <si>
    <t>c.649A&gt;G</t>
  </si>
  <si>
    <t>p.(Ser217Gly)</t>
  </si>
  <si>
    <t>None  </t>
  </si>
  <si>
    <t>FTD15</t>
  </si>
  <si>
    <t xml:space="preserve">c.513C&gt;A </t>
  </si>
  <si>
    <t>p.(Asn171Lys)</t>
  </si>
  <si>
    <t>G&gt;T</t>
  </si>
  <si>
    <t>FTD16</t>
  </si>
  <si>
    <t>c.206C&gt;G</t>
  </si>
  <si>
    <t>p.(Pro69Leu)</t>
  </si>
  <si>
    <t>conflicting interpretations of pathogenicity</t>
  </si>
  <si>
    <t>rs147750747  </t>
  </si>
  <si>
    <t>FTD17</t>
  </si>
  <si>
    <t>c.197A&gt;G</t>
  </si>
  <si>
    <t>p.(Lys66Arg)</t>
  </si>
  <si>
    <t>FTD18</t>
  </si>
  <si>
    <t>c.66A&gt;T</t>
  </si>
  <si>
    <t>p.(Glu22Asp)</t>
  </si>
  <si>
    <t>rs145529594  </t>
  </si>
  <si>
    <t>A&gt;T</t>
  </si>
  <si>
    <t>FTD19</t>
  </si>
  <si>
    <t>c.63A&gt;C</t>
  </si>
  <si>
    <t>p.(Arg21Ser)</t>
  </si>
  <si>
    <t>rs201926015  </t>
  </si>
  <si>
    <t>A&gt;C</t>
  </si>
  <si>
    <t>ALS01</t>
  </si>
  <si>
    <t>c.343G&gt;A</t>
  </si>
  <si>
    <t>p.(Val115Met)</t>
  </si>
  <si>
    <t xml:space="preserve"> rs18345073</t>
  </si>
  <si>
    <t>Huang et al 2021</t>
  </si>
  <si>
    <t>ALS02</t>
  </si>
  <si>
    <t xml:space="preserve">c.695T&gt;C </t>
  </si>
  <si>
    <t>p.(Leu232Pro)</t>
  </si>
  <si>
    <t>Number of mutations</t>
  </si>
  <si>
    <t>cln7.52 is included in the table, but the description as published is incorrect, therefore no further details have been determined</t>
  </si>
  <si>
    <t xml:space="preserve">Count of mutation types </t>
  </si>
  <si>
    <t>Count of other mutation information</t>
  </si>
  <si>
    <t>varies</t>
  </si>
  <si>
    <t>New donor splice site</t>
  </si>
  <si>
    <t xml:space="preserve">Alteration of ESE / ESS  </t>
  </si>
  <si>
    <t>splice WT donor variant</t>
  </si>
  <si>
    <t>splice WT acceptor variant</t>
  </si>
  <si>
    <t>cryptic splice acceptor variant</t>
  </si>
  <si>
    <t>Activation of intronic cryptic donor site</t>
  </si>
  <si>
    <t>Alteration of exonic ESE site</t>
  </si>
  <si>
    <t>no significant splicing alteration</t>
  </si>
  <si>
    <t>creation of an exonic ESS site</t>
  </si>
  <si>
    <t>Clinvar classification</t>
  </si>
  <si>
    <t>Pathogenic/likely pathogenic</t>
  </si>
  <si>
    <t>NA (not in ClinVar)</t>
  </si>
  <si>
    <t>not provided</t>
  </si>
  <si>
    <t>Conflicting</t>
  </si>
  <si>
    <t>Exon/Intron</t>
  </si>
  <si>
    <t>Large deletion</t>
  </si>
  <si>
    <t>Intron 01</t>
  </si>
  <si>
    <t>Intron 12</t>
  </si>
  <si>
    <t>NOTES</t>
  </si>
  <si>
    <t>Mutation types</t>
  </si>
  <si>
    <t>These are at the DNA level (see https://varnomen.hgvs.org)</t>
  </si>
  <si>
    <t>Other mutation information</t>
  </si>
  <si>
    <t>This is at protein or RNA level (see https://varnomen.hgvs.org)</t>
  </si>
  <si>
    <t>This is as reported at the time that the variant is added to the table. Clinvar is constantly updated, so this information is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</si>
</sst>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 (Body)"/>
    </font>
    <font>
      <u/>
      <sz val="9"/>
      <color rgb="FF2A10EA"/>
      <name val="Calibri (Body)"/>
    </font>
    <font>
      <b/>
      <i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2A10EA"/>
      <name val="Calibri"/>
      <family val="2"/>
      <scheme val="minor"/>
    </font>
    <font>
      <sz val="11"/>
      <name val="Arial"/>
      <family val="2"/>
    </font>
    <font>
      <sz val="12"/>
      <color rgb="FF212529"/>
      <name val="-Apple-System"/>
      <charset val="1"/>
    </font>
    <font>
      <sz val="7"/>
      <color theme="1"/>
      <name val="ArialMT"/>
    </font>
    <font>
      <sz val="8"/>
      <name val="Calibri"/>
      <family val="2"/>
      <scheme val="minor"/>
    </font>
    <font>
      <sz val="9"/>
      <color theme="1"/>
      <name val="STIX"/>
    </font>
    <font>
      <sz val="12"/>
      <color rgb="FF000000"/>
      <name val="Calibri"/>
      <family val="2"/>
      <charset val="1"/>
    </font>
    <font>
      <sz val="9"/>
      <color rgb="FF212121"/>
      <name val="Calibri"/>
      <family val="2"/>
    </font>
    <font>
      <sz val="9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u/>
      <sz val="11"/>
      <color rgb="FF2A10EA"/>
      <name val="Calibri (Body)"/>
    </font>
    <font>
      <sz val="11"/>
      <name val="Calibri (Body)"/>
    </font>
    <font>
      <sz val="11"/>
      <color rgb="FF000000"/>
      <name val="Calibri"/>
      <family val="2"/>
      <scheme val="minor"/>
    </font>
    <font>
      <u/>
      <sz val="11"/>
      <color rgb="FF2A10EA"/>
      <name val="Calibri"/>
      <family val="2"/>
    </font>
    <font>
      <sz val="11"/>
      <color theme="1"/>
      <name val="ArialMT"/>
    </font>
    <font>
      <sz val="11"/>
      <color theme="1"/>
      <name val="ArialMT"/>
      <family val="2"/>
    </font>
    <font>
      <i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49" fontId="0" fillId="0" borderId="6" xfId="0" applyNumberFormat="1" applyBorder="1" applyAlignment="1">
      <alignment vertical="top" wrapText="1"/>
    </xf>
    <xf numFmtId="49" fontId="0" fillId="0" borderId="7" xfId="0" applyNumberFormat="1" applyBorder="1" applyAlignment="1">
      <alignment vertical="top" wrapText="1"/>
    </xf>
    <xf numFmtId="49" fontId="0" fillId="0" borderId="0" xfId="0" applyNumberFormat="1" applyAlignment="1">
      <alignment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14" fillId="0" borderId="0" xfId="1" applyFont="1" applyAlignment="1" applyProtection="1">
      <alignment horizontal="center"/>
    </xf>
    <xf numFmtId="0" fontId="7" fillId="0" borderId="0" xfId="0" applyFont="1" applyAlignment="1">
      <alignment horizontal="center" vertical="top" wrapText="1"/>
    </xf>
    <xf numFmtId="49" fontId="0" fillId="0" borderId="0" xfId="0" applyNumberFormat="1" applyAlignment="1">
      <alignment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1" applyFont="1" applyFill="1" applyAlignment="1" applyProtection="1">
      <alignment horizontal="center" vertical="center"/>
    </xf>
    <xf numFmtId="0" fontId="0" fillId="0" borderId="0" xfId="0" applyAlignment="1">
      <alignment vertical="center"/>
    </xf>
    <xf numFmtId="0" fontId="19" fillId="0" borderId="0" xfId="0" applyFont="1"/>
    <xf numFmtId="49" fontId="0" fillId="0" borderId="0" xfId="0" applyNumberFormat="1" applyAlignment="1">
      <alignment horizontal="left" vertical="top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1" applyFont="1" applyFill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left" vertical="top"/>
    </xf>
    <xf numFmtId="0" fontId="21" fillId="0" borderId="0" xfId="0" applyFont="1"/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0" borderId="0" xfId="1" applyFont="1" applyFill="1" applyAlignment="1" applyProtection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6" fillId="0" borderId="0" xfId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6" fillId="0" borderId="2" xfId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6" fillId="0" borderId="11" xfId="1" applyFont="1" applyFill="1" applyBorder="1" applyAlignment="1" applyProtection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1" applyFont="1" applyFill="1" applyAlignment="1" applyProtection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0" xfId="1" applyFill="1" applyAlignment="1" applyProtection="1">
      <alignment horizontal="center" vertical="center"/>
    </xf>
    <xf numFmtId="0" fontId="34" fillId="2" borderId="11" xfId="4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49" fontId="0" fillId="0" borderId="0" xfId="0" applyNumberFormat="1" applyAlignment="1">
      <alignment vertical="top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8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3" builtinId="9" hidden="1"/>
    <cellStyle name="Followed Hyperlink" xfId="9" builtinId="9" hidden="1"/>
    <cellStyle name="Hyperlink" xfId="1" builtinId="8"/>
    <cellStyle name="Normal" xfId="0" builtinId="0"/>
    <cellStyle name="Normal 3" xfId="4" xr:uid="{00000000-0005-0000-0000-000009000000}"/>
  </cellStyles>
  <dxfs count="44">
    <dxf>
      <font>
        <sz val="9"/>
        <name val="Calibri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1212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1212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1212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1212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1212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1212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1212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1212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1212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1212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1212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1212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1212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1212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sz val="9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  <alignment horizontal="center" vertical="center" inden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rgb="FF2A10EA"/>
        <name val="Calibri (Body)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(Body)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bgColor auto="1"/>
        </patternFill>
      </fill>
      <alignment horizontal="center" vertical="center" inden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2A1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ardner, Emily" id="{B1ED0AB3-9297-4FE3-AEFC-98374EC3F399}" userId="S::dmcbega@ucl.ac.uk::37e07b13-af40-4e43-8023-8c028f34cce5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044045-CBEC-4ED9-AA3F-99E893C22289}" name="Table2" displayName="Table2" ref="A11:P109" totalsRowShown="0" headerRowDxfId="37" dataDxfId="36">
  <autoFilter ref="A11:P109" xr:uid="{4F42A224-1254-4EE5-9250-3FC91267D8DA}"/>
  <sortState xmlns:xlrd2="http://schemas.microsoft.com/office/spreadsheetml/2017/richdata2" ref="A12:P109">
    <sortCondition ref="K11:K109"/>
  </sortState>
  <tableColumns count="16">
    <tableColumn id="1" xr3:uid="{78A38095-6DA7-4DFE-9BD6-D52B53795AD2}" name="Identifier" dataDxfId="35"/>
    <tableColumn id="2" xr3:uid="{3898D67A-4FD0-4C70-8684-8394E4B09A70}" name="Mutation Location" dataDxfId="34"/>
    <tableColumn id="3" xr3:uid="{B190641C-CE2C-43F9-A04E-76C2CE153D26}" name="Nucleotide Change" dataDxfId="33"/>
    <tableColumn id="4" xr3:uid="{62F2C645-0EC7-4556-A413-676AE1F2EC6E}" name="Amino Acid Change" dataDxfId="32"/>
    <tableColumn id="5" xr3:uid="{06C5F98A-5C59-48EB-9A8A-F943C8A25E7C}" name="Type of Mutation - DNA" dataDxfId="31"/>
    <tableColumn id="6" xr3:uid="{FE76ABE2-E51C-4734-80C2-3A973EAD815D}" name="additional mutation info" dataDxfId="30"/>
    <tableColumn id="7" xr3:uid="{EA670D88-BFCE-4791-ADDE-E1AE17012851}" name="Predicted functional effect in silico" dataDxfId="29"/>
    <tableColumn id="8" xr3:uid="{DDE06540-7F88-4491-A3BC-356F7DFEBE7A}" name="clinvar classification" dataDxfId="28"/>
    <tableColumn id="9" xr3:uid="{66C51C47-C7C0-4320-938F-A72E199AA333}" name="rs number" dataDxfId="27"/>
    <tableColumn id="10" xr3:uid="{8B61DF86-A3E4-4A95-9B67-11A0BCC3CA52}" name="contig position (GRCh38.p7)" dataDxfId="26"/>
    <tableColumn id="16" xr3:uid="{13B734A7-4E20-4D50-83E9-5F3B14F44AE5}" name="Reference" dataDxfId="25"/>
    <tableColumn id="11" xr3:uid="{DB6B3AF9-5B64-4394-B272-A3C1E311F3E6}" name="PMID" dataDxfId="24" dataCellStyle="Hyperlink"/>
    <tableColumn id="13" xr3:uid="{B3DE486D-3733-4ED6-BC54-BB98D6D99164}" name="Original description" dataDxfId="23"/>
    <tableColumn id="14" xr3:uid="{A3732585-9880-4CF4-8528-9A470B98C442}" name="Notes" dataDxfId="22"/>
    <tableColumn id="15" xr3:uid="{14DE604D-EB4D-4FA4-94A9-5BAD1071A229}" name="Notes 2" dataDxfId="21"/>
    <tableColumn id="12" xr3:uid="{CDAA9090-E348-0341-B941-85B03DE3BD01}" name="Notes 3" dataDxfId="2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AC646B6-C097-49C9-A670-C9FD7F621897}" name="Table3" displayName="Table3" ref="A13:O35" totalsRowShown="0" headerRowDxfId="16" dataDxfId="15">
  <autoFilter ref="A13:O35" xr:uid="{DAC646B6-C097-49C9-A670-C9FD7F621897}"/>
  <sortState xmlns:xlrd2="http://schemas.microsoft.com/office/spreadsheetml/2017/richdata2" ref="A14:O35">
    <sortCondition ref="K13:K35"/>
  </sortState>
  <tableColumns count="15">
    <tableColumn id="1" xr3:uid="{BB2CD10C-9F59-49E8-B7F0-4B35EB5B1F17}" name="Identifier" dataDxfId="14"/>
    <tableColumn id="2" xr3:uid="{12B4D302-0282-46F0-9DB3-B950C7234A44}" name="Mutation Location" dataDxfId="13"/>
    <tableColumn id="3" xr3:uid="{240089C9-20FE-40BE-AF2B-D3F0859EAED6}" name="Nucleotide Change" dataDxfId="12"/>
    <tableColumn id="4" xr3:uid="{EBF14202-E081-44B4-98CF-94E633BB32E0}" name="Amino Acid Change" dataDxfId="11"/>
    <tableColumn id="5" xr3:uid="{DDDCF1BA-F5F0-4CE2-9416-9A890314206B}" name="Type of Mutation - DNA" dataDxfId="10"/>
    <tableColumn id="6" xr3:uid="{A18CC85A-E4A8-4808-B1A3-B4BA3A1AD243}" name="additional mutation info" dataDxfId="9"/>
    <tableColumn id="7" xr3:uid="{7A51009F-B7C8-45EE-B069-520251BA9BFC}" name="Predicted functional effect in silico" dataDxfId="8"/>
    <tableColumn id="8" xr3:uid="{3EFE1BFA-2492-47E7-A6B9-D710A012F972}" name="clinvar classification" dataDxfId="7"/>
    <tableColumn id="9" xr3:uid="{E9B862B9-A52F-4E6D-8B7C-CD14E583CE93}" name="rs number" dataDxfId="6"/>
    <tableColumn id="10" xr3:uid="{36C07D4B-35FE-4C77-8662-C9A41084D671}" name="contig position (GRCh38)" dataDxfId="5"/>
    <tableColumn id="11" xr3:uid="{F007131B-99EA-4793-93BB-028ACF39B9FC}" name="Reference" dataDxfId="4"/>
    <tableColumn id="12" xr3:uid="{06E824B5-0736-44C0-B13C-494323DA326A}" name="PMID" dataDxfId="3"/>
    <tableColumn id="13" xr3:uid="{EEFAB00C-8584-43D8-B1C2-298DC441EC9F}" name="Original description" dataDxfId="2"/>
    <tableColumn id="14" xr3:uid="{C5185B23-C36B-4149-B06A-4111E5833074}" name="Notes" dataDxfId="1"/>
    <tableColumn id="15" xr3:uid="{7A69137A-29D6-4C1C-A058-B4FE6C788B58}" name="Notes 2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0-04-20T13:45:45.36" personId="{B1ED0AB3-9297-4FE3-AEFC-98374EC3F399}" id="{41020BB2-84EA-4FD9-AB0C-9A08DD1634CC}">
    <text xml:space="preserve">Total is greater than the number of variants, as some of the changes have more than one potential consequence
</text>
  </threadedComment>
</ThreadedComments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ncbi.nlm.nih.gov/pubmed?term=19177532" TargetMode="External"/><Relationship Id="rId18" Type="http://schemas.openxmlformats.org/officeDocument/2006/relationships/hyperlink" Target="http://www.ncbi.nlm.nih.gov/pubmed?term=21990111" TargetMode="External"/><Relationship Id="rId26" Type="http://schemas.openxmlformats.org/officeDocument/2006/relationships/hyperlink" Target="http://www.ncbi.nlm.nih.gov/pubmed?term=21990111" TargetMode="External"/><Relationship Id="rId39" Type="http://schemas.openxmlformats.org/officeDocument/2006/relationships/hyperlink" Target="http://www.ncbi.nlm.nih.gov/pubmed?term=17564970" TargetMode="External"/><Relationship Id="rId21" Type="http://schemas.openxmlformats.org/officeDocument/2006/relationships/hyperlink" Target="http://www.ncbi.nlm.nih.gov/pubmed?term=21990111" TargetMode="External"/><Relationship Id="rId34" Type="http://schemas.openxmlformats.org/officeDocument/2006/relationships/hyperlink" Target="http://www.ncbi.nlm.nih.gov/pubmed?term=17564970" TargetMode="External"/><Relationship Id="rId42" Type="http://schemas.openxmlformats.org/officeDocument/2006/relationships/hyperlink" Target="http://www.ncbi.nlm.nih.gov/nuccore/207450715?report=genbank&amp;to=55180" TargetMode="External"/><Relationship Id="rId47" Type="http://schemas.openxmlformats.org/officeDocument/2006/relationships/hyperlink" Target="https://pubmed.ncbi.nlm.nih.gov/33486620/" TargetMode="External"/><Relationship Id="rId50" Type="http://schemas.openxmlformats.org/officeDocument/2006/relationships/hyperlink" Target="https://pubmed.ncbi.nlm.nih.gov/33486620/" TargetMode="External"/><Relationship Id="rId7" Type="http://schemas.openxmlformats.org/officeDocument/2006/relationships/hyperlink" Target="http://www.ncbi.nlm.nih.gov/pubmed/19201763" TargetMode="External"/><Relationship Id="rId2" Type="http://schemas.openxmlformats.org/officeDocument/2006/relationships/hyperlink" Target="http://www.ncbi.nlm.nih.gov/pubmed?term=17564970" TargetMode="External"/><Relationship Id="rId16" Type="http://schemas.openxmlformats.org/officeDocument/2006/relationships/hyperlink" Target="http://www.ncbi.nlm.nih.gov/pubmed/19201763" TargetMode="External"/><Relationship Id="rId29" Type="http://schemas.openxmlformats.org/officeDocument/2006/relationships/hyperlink" Target="http://www.ncbi.nlm.nih.gov/pubmed/25227500" TargetMode="External"/><Relationship Id="rId11" Type="http://schemas.openxmlformats.org/officeDocument/2006/relationships/hyperlink" Target="http://www.ncbi.nlm.nih.gov/pubmed?term=19177532" TargetMode="External"/><Relationship Id="rId24" Type="http://schemas.openxmlformats.org/officeDocument/2006/relationships/hyperlink" Target="http://www.ncbi.nlm.nih.gov/pubmed?term=21990111" TargetMode="External"/><Relationship Id="rId32" Type="http://schemas.openxmlformats.org/officeDocument/2006/relationships/hyperlink" Target="http://www.ncbi.nlm.nih.gov/pubmed/25333361" TargetMode="External"/><Relationship Id="rId37" Type="http://schemas.openxmlformats.org/officeDocument/2006/relationships/hyperlink" Target="https://www.ncbi.nlm.nih.gov/pmc/articles/PMC6109285/" TargetMode="External"/><Relationship Id="rId40" Type="http://schemas.openxmlformats.org/officeDocument/2006/relationships/hyperlink" Target="http://www.ncbi.nlm.nih.gov/pubmed/19201763" TargetMode="External"/><Relationship Id="rId45" Type="http://schemas.openxmlformats.org/officeDocument/2006/relationships/hyperlink" Target="https://www.ncbi.nlm.nih.gov/nuccore/NM_152778" TargetMode="External"/><Relationship Id="rId5" Type="http://schemas.openxmlformats.org/officeDocument/2006/relationships/hyperlink" Target="http://www.ncbi.nlm.nih.gov/pubmed?term=19177532" TargetMode="External"/><Relationship Id="rId15" Type="http://schemas.openxmlformats.org/officeDocument/2006/relationships/hyperlink" Target="http://www.ncbi.nlm.nih.gov/pubmed/19201763" TargetMode="External"/><Relationship Id="rId23" Type="http://schemas.openxmlformats.org/officeDocument/2006/relationships/hyperlink" Target="http://www.ncbi.nlm.nih.gov/pubmed?term=21990111" TargetMode="External"/><Relationship Id="rId28" Type="http://schemas.openxmlformats.org/officeDocument/2006/relationships/hyperlink" Target="http://www.ncbi.nlm.nih.gov/pubmed?term=21990111" TargetMode="External"/><Relationship Id="rId36" Type="http://schemas.openxmlformats.org/officeDocument/2006/relationships/hyperlink" Target="https://www.ncbi.nlm.nih.gov/pubmed/31105743" TargetMode="External"/><Relationship Id="rId49" Type="http://schemas.openxmlformats.org/officeDocument/2006/relationships/hyperlink" Target="https://pubmed.ncbi.nlm.nih.gov/30543658/" TargetMode="External"/><Relationship Id="rId10" Type="http://schemas.openxmlformats.org/officeDocument/2006/relationships/hyperlink" Target="http://www.ncbi.nlm.nih.gov/pubmed?term=19177532" TargetMode="External"/><Relationship Id="rId19" Type="http://schemas.openxmlformats.org/officeDocument/2006/relationships/hyperlink" Target="http://www.ncbi.nlm.nih.gov/pubmed?term=18850119" TargetMode="External"/><Relationship Id="rId31" Type="http://schemas.openxmlformats.org/officeDocument/2006/relationships/hyperlink" Target="http://www.ncbi.nlm.nih.gov/pubmed/25333361" TargetMode="External"/><Relationship Id="rId44" Type="http://schemas.openxmlformats.org/officeDocument/2006/relationships/hyperlink" Target="https://www.ncbi.nlm.nih.gov/nuccore/207450715?report=genbank&amp;to=55180" TargetMode="External"/><Relationship Id="rId52" Type="http://schemas.openxmlformats.org/officeDocument/2006/relationships/table" Target="../tables/table1.xml"/><Relationship Id="rId4" Type="http://schemas.openxmlformats.org/officeDocument/2006/relationships/hyperlink" Target="http://www.ncbi.nlm.nih.gov/pubmed?term=17564970" TargetMode="External"/><Relationship Id="rId9" Type="http://schemas.openxmlformats.org/officeDocument/2006/relationships/hyperlink" Target="http://www.ncbi.nlm.nih.gov/pubmed?term=19177532" TargetMode="External"/><Relationship Id="rId14" Type="http://schemas.openxmlformats.org/officeDocument/2006/relationships/hyperlink" Target="http://www.ncbi.nlm.nih.gov/pubmed?term=19177532" TargetMode="External"/><Relationship Id="rId22" Type="http://schemas.openxmlformats.org/officeDocument/2006/relationships/hyperlink" Target="http://www.ncbi.nlm.nih.gov/pubmed?term=21990111" TargetMode="External"/><Relationship Id="rId27" Type="http://schemas.openxmlformats.org/officeDocument/2006/relationships/hyperlink" Target="http://www.ncbi.nlm.nih.gov/pubmed?term=21990111" TargetMode="External"/><Relationship Id="rId30" Type="http://schemas.openxmlformats.org/officeDocument/2006/relationships/hyperlink" Target="http://www.ncbi.nlm.nih.gov/pubmed/25270050" TargetMode="External"/><Relationship Id="rId35" Type="http://schemas.openxmlformats.org/officeDocument/2006/relationships/hyperlink" Target="http://www.ncbi.nlm.nih.gov/pubmed?term=19177532" TargetMode="External"/><Relationship Id="rId43" Type="http://schemas.openxmlformats.org/officeDocument/2006/relationships/hyperlink" Target="http://www.ncbi.nlm.nih.gov/protein/22749525" TargetMode="External"/><Relationship Id="rId48" Type="http://schemas.openxmlformats.org/officeDocument/2006/relationships/hyperlink" Target="https://pubmed.ncbi.nlm.nih.gov/33486620/" TargetMode="External"/><Relationship Id="rId8" Type="http://schemas.openxmlformats.org/officeDocument/2006/relationships/hyperlink" Target="http://www.ncbi.nlm.nih.gov/pubmed?term=21990111" TargetMode="External"/><Relationship Id="rId51" Type="http://schemas.openxmlformats.org/officeDocument/2006/relationships/hyperlink" Target="https://variantvalidator.org/service/validate/" TargetMode="External"/><Relationship Id="rId3" Type="http://schemas.openxmlformats.org/officeDocument/2006/relationships/hyperlink" Target="http://www.ncbi.nlm.nih.gov/pubmed?term=17564970" TargetMode="External"/><Relationship Id="rId12" Type="http://schemas.openxmlformats.org/officeDocument/2006/relationships/hyperlink" Target="http://www.ncbi.nlm.nih.gov/pubmed?term=19177532" TargetMode="External"/><Relationship Id="rId17" Type="http://schemas.openxmlformats.org/officeDocument/2006/relationships/hyperlink" Target="http://www.ncbi.nlm.nih.gov/pubmed/19201763" TargetMode="External"/><Relationship Id="rId25" Type="http://schemas.openxmlformats.org/officeDocument/2006/relationships/hyperlink" Target="http://www.ncbi.nlm.nih.gov/pubmed?term=21990111" TargetMode="External"/><Relationship Id="rId33" Type="http://schemas.openxmlformats.org/officeDocument/2006/relationships/hyperlink" Target="https://www.ncbi.nlm.nih.gov/pubmed/28586915" TargetMode="External"/><Relationship Id="rId38" Type="http://schemas.openxmlformats.org/officeDocument/2006/relationships/hyperlink" Target="https://www.ncbi.nlm.nih.gov/pubmed/30249282" TargetMode="External"/><Relationship Id="rId46" Type="http://schemas.openxmlformats.org/officeDocument/2006/relationships/hyperlink" Target="https://pubmed.ncbi.nlm.nih.gov/35154277/" TargetMode="External"/><Relationship Id="rId20" Type="http://schemas.openxmlformats.org/officeDocument/2006/relationships/hyperlink" Target="http://www.ncbi.nlm.nih.gov/pubmed?term=19277732" TargetMode="External"/><Relationship Id="rId41" Type="http://schemas.openxmlformats.org/officeDocument/2006/relationships/hyperlink" Target="http://www.ncbi.nlm.nih.gov/gene/256471" TargetMode="External"/><Relationship Id="rId1" Type="http://schemas.openxmlformats.org/officeDocument/2006/relationships/hyperlink" Target="http://www.ncbi.nlm.nih.gov/pubmed/19201763" TargetMode="External"/><Relationship Id="rId6" Type="http://schemas.openxmlformats.org/officeDocument/2006/relationships/hyperlink" Target="http://www.ncbi.nlm.nih.gov/pubmed?term=1917753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cbi.nlm.nih.gov/protein/22749525" TargetMode="External"/><Relationship Id="rId2" Type="http://schemas.openxmlformats.org/officeDocument/2006/relationships/hyperlink" Target="http://www.ncbi.nlm.nih.gov/nuccore/207450715?report=genbank&amp;to=55180" TargetMode="External"/><Relationship Id="rId1" Type="http://schemas.openxmlformats.org/officeDocument/2006/relationships/hyperlink" Target="http://www.ncbi.nlm.nih.gov/gene/256471" TargetMode="External"/><Relationship Id="rId5" Type="http://schemas.openxmlformats.org/officeDocument/2006/relationships/table" Target="../tables/table2.xml"/><Relationship Id="rId4" Type="http://schemas.openxmlformats.org/officeDocument/2006/relationships/hyperlink" Target="http://www.ncbi.nlm.nih.gov/nuccore/NM_152778.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2DFEE-000A-4846-99F9-760A9DE93DA7}">
  <dimension ref="A1:R128"/>
  <sheetViews>
    <sheetView zoomScale="124" zoomScaleNormal="124" workbookViewId="0">
      <selection activeCell="G7" sqref="G7"/>
    </sheetView>
    <sheetView tabSelected="1" workbookViewId="1">
      <selection activeCell="A4" sqref="A4:C4"/>
    </sheetView>
  </sheetViews>
  <sheetFormatPr defaultColWidth="8.875" defaultRowHeight="15.95"/>
  <cols>
    <col min="1" max="1" width="10" style="34" bestFit="1" customWidth="1"/>
    <col min="2" max="2" width="17.5" style="34" bestFit="1" customWidth="1"/>
    <col min="3" max="3" width="26.375" style="34" bestFit="1" customWidth="1"/>
    <col min="4" max="4" width="17.375" style="34" customWidth="1"/>
    <col min="5" max="5" width="16.5" style="34" bestFit="1" customWidth="1"/>
    <col min="6" max="6" width="38" style="42" customWidth="1"/>
    <col min="7" max="7" width="13" style="34" customWidth="1"/>
    <col min="8" max="8" width="15.5" style="34" customWidth="1"/>
    <col min="9" max="9" width="12" style="34" customWidth="1"/>
    <col min="10" max="10" width="24.5" style="34" bestFit="1" customWidth="1"/>
    <col min="11" max="11" width="15" style="34" customWidth="1"/>
    <col min="12" max="12" width="11.5" style="34" customWidth="1"/>
    <col min="13" max="13" width="23.375" style="34" customWidth="1"/>
    <col min="14" max="14" width="14.5" style="37" customWidth="1"/>
    <col min="15" max="15" width="30.5" style="34" bestFit="1" customWidth="1"/>
    <col min="16" max="16" width="9" style="34" bestFit="1" customWidth="1"/>
    <col min="17" max="17" width="28.875" style="34" customWidth="1"/>
    <col min="18" max="16384" width="8.875" style="34"/>
  </cols>
  <sheetData>
    <row r="1" spans="1:18">
      <c r="A1" s="95" t="s">
        <v>0</v>
      </c>
      <c r="B1" s="95"/>
      <c r="C1" s="95"/>
      <c r="D1" s="18" t="s">
        <v>1</v>
      </c>
      <c r="E1" s="31"/>
      <c r="F1" s="18"/>
      <c r="G1" s="18"/>
      <c r="J1" s="18" t="s">
        <v>2</v>
      </c>
    </row>
    <row r="2" spans="1:18">
      <c r="A2" s="95" t="s">
        <v>3</v>
      </c>
      <c r="B2" s="95"/>
      <c r="C2" s="95"/>
      <c r="D2" s="32">
        <v>256471</v>
      </c>
      <c r="E2" s="31"/>
      <c r="F2" s="18"/>
      <c r="G2" s="18"/>
      <c r="J2" s="81" t="s">
        <v>4</v>
      </c>
    </row>
    <row r="3" spans="1:18">
      <c r="A3" s="95" t="s">
        <v>5</v>
      </c>
      <c r="B3" s="95"/>
      <c r="C3" s="95"/>
      <c r="D3" s="18" t="s">
        <v>6</v>
      </c>
      <c r="E3" s="31"/>
      <c r="F3" s="18"/>
      <c r="G3" s="18"/>
      <c r="J3" s="81" t="s">
        <v>7</v>
      </c>
    </row>
    <row r="4" spans="1:18">
      <c r="A4" s="95" t="s">
        <v>8</v>
      </c>
      <c r="B4" s="95"/>
      <c r="C4" s="95"/>
      <c r="D4" s="32" t="s">
        <v>9</v>
      </c>
      <c r="E4" s="83" t="s">
        <v>10</v>
      </c>
      <c r="F4" s="18"/>
      <c r="G4" s="18"/>
      <c r="J4" s="81" t="s">
        <v>11</v>
      </c>
    </row>
    <row r="5" spans="1:18" ht="15.75">
      <c r="A5" s="96" t="s">
        <v>12</v>
      </c>
      <c r="B5" s="96"/>
      <c r="C5" s="96"/>
      <c r="D5" s="92" t="s">
        <v>13</v>
      </c>
      <c r="E5" s="18" t="s">
        <v>14</v>
      </c>
      <c r="F5" s="32" t="s">
        <v>15</v>
      </c>
      <c r="G5" s="18" t="s">
        <v>16</v>
      </c>
      <c r="H5" s="40"/>
      <c r="J5" s="81" t="s">
        <v>17</v>
      </c>
    </row>
    <row r="6" spans="1:18">
      <c r="A6" s="95" t="s">
        <v>18</v>
      </c>
      <c r="B6" s="95"/>
      <c r="C6" s="95"/>
      <c r="D6" s="32" t="s">
        <v>19</v>
      </c>
      <c r="E6" s="33" t="s">
        <v>20</v>
      </c>
      <c r="F6" s="18"/>
      <c r="G6" s="18"/>
      <c r="J6" s="81" t="s">
        <v>21</v>
      </c>
    </row>
    <row r="7" spans="1:18">
      <c r="A7" s="94" t="s">
        <v>22</v>
      </c>
      <c r="B7" s="94"/>
      <c r="C7" s="94"/>
      <c r="D7" s="82" t="s">
        <v>23</v>
      </c>
      <c r="J7" s="38" t="s">
        <v>24</v>
      </c>
    </row>
    <row r="8" spans="1:18">
      <c r="A8" s="80"/>
      <c r="B8" s="80"/>
      <c r="C8" s="80"/>
      <c r="D8" s="82" t="s">
        <v>25</v>
      </c>
      <c r="F8" s="34"/>
      <c r="J8" s="38" t="s">
        <v>26</v>
      </c>
    </row>
    <row r="9" spans="1:18">
      <c r="A9" s="80"/>
      <c r="B9" s="80"/>
      <c r="C9" s="80"/>
      <c r="D9" s="82"/>
      <c r="F9" s="82"/>
      <c r="J9" s="38"/>
    </row>
    <row r="11" spans="1:18" s="41" customFormat="1" ht="69" customHeight="1">
      <c r="A11" s="58" t="s">
        <v>27</v>
      </c>
      <c r="B11" s="58" t="s">
        <v>28</v>
      </c>
      <c r="C11" s="58" t="s">
        <v>29</v>
      </c>
      <c r="D11" s="58" t="s">
        <v>30</v>
      </c>
      <c r="E11" s="59" t="s">
        <v>31</v>
      </c>
      <c r="F11" s="59" t="s">
        <v>32</v>
      </c>
      <c r="G11" s="59" t="s">
        <v>33</v>
      </c>
      <c r="H11" s="59" t="s">
        <v>34</v>
      </c>
      <c r="I11" s="59" t="s">
        <v>35</v>
      </c>
      <c r="J11" s="59" t="s">
        <v>36</v>
      </c>
      <c r="K11" s="58" t="s">
        <v>37</v>
      </c>
      <c r="L11" s="58" t="s">
        <v>38</v>
      </c>
      <c r="M11" s="58" t="s">
        <v>39</v>
      </c>
      <c r="N11" s="59" t="s">
        <v>2</v>
      </c>
      <c r="O11" s="59" t="s">
        <v>40</v>
      </c>
      <c r="P11" s="58" t="s">
        <v>41</v>
      </c>
      <c r="Q11" s="84"/>
      <c r="R11" s="31"/>
    </row>
    <row r="12" spans="1:18" s="41" customFormat="1" ht="80.099999999999994">
      <c r="A12" s="18" t="s">
        <v>42</v>
      </c>
      <c r="B12" s="18" t="s">
        <v>43</v>
      </c>
      <c r="C12" s="80" t="s">
        <v>44</v>
      </c>
      <c r="D12" s="80" t="s">
        <v>45</v>
      </c>
      <c r="E12" s="80" t="s">
        <v>46</v>
      </c>
      <c r="F12" s="85" t="s">
        <v>47</v>
      </c>
      <c r="G12" s="85" t="s">
        <v>48</v>
      </c>
      <c r="H12" s="85" t="s">
        <v>49</v>
      </c>
      <c r="I12" s="80" t="s">
        <v>49</v>
      </c>
      <c r="J12" s="80">
        <v>127939854</v>
      </c>
      <c r="K12" s="18" t="s">
        <v>50</v>
      </c>
      <c r="L12" s="60">
        <v>17564970</v>
      </c>
      <c r="M12" s="85"/>
      <c r="N12" s="85" t="s">
        <v>51</v>
      </c>
      <c r="O12" s="80"/>
      <c r="P12" s="80"/>
      <c r="Q12" s="86"/>
      <c r="R12" s="61"/>
    </row>
    <row r="13" spans="1:18" s="41" customFormat="1" ht="48">
      <c r="A13" s="18" t="s">
        <v>52</v>
      </c>
      <c r="B13" s="18" t="s">
        <v>53</v>
      </c>
      <c r="C13" s="80" t="s">
        <v>54</v>
      </c>
      <c r="D13" s="80" t="s">
        <v>49</v>
      </c>
      <c r="E13" s="80" t="s">
        <v>46</v>
      </c>
      <c r="F13" s="85" t="s">
        <v>55</v>
      </c>
      <c r="G13" s="85" t="s">
        <v>56</v>
      </c>
      <c r="H13" s="85" t="s">
        <v>57</v>
      </c>
      <c r="I13" s="80" t="s">
        <v>58</v>
      </c>
      <c r="J13" s="80">
        <v>127938781</v>
      </c>
      <c r="K13" s="62" t="s">
        <v>59</v>
      </c>
      <c r="L13" s="63">
        <v>19201763</v>
      </c>
      <c r="M13" s="85"/>
      <c r="N13" s="18"/>
      <c r="O13" s="80"/>
      <c r="P13" s="80"/>
      <c r="Q13" s="86"/>
      <c r="R13" s="61"/>
    </row>
    <row r="14" spans="1:18" s="41" customFormat="1" ht="32.1">
      <c r="A14" s="18" t="s">
        <v>60</v>
      </c>
      <c r="B14" s="18" t="s">
        <v>61</v>
      </c>
      <c r="C14" s="80" t="s">
        <v>62</v>
      </c>
      <c r="D14" s="80" t="s">
        <v>63</v>
      </c>
      <c r="E14" s="80" t="s">
        <v>46</v>
      </c>
      <c r="F14" s="80" t="s">
        <v>64</v>
      </c>
      <c r="G14" s="85" t="s">
        <v>49</v>
      </c>
      <c r="H14" s="85" t="s">
        <v>57</v>
      </c>
      <c r="I14" s="80" t="s">
        <v>65</v>
      </c>
      <c r="J14" s="80">
        <v>127930787</v>
      </c>
      <c r="K14" s="18" t="s">
        <v>50</v>
      </c>
      <c r="L14" s="63">
        <v>17564970</v>
      </c>
      <c r="M14" s="85"/>
      <c r="N14" s="18"/>
      <c r="O14" s="80"/>
      <c r="P14" s="80"/>
      <c r="Q14" s="86"/>
      <c r="R14" s="61"/>
    </row>
    <row r="15" spans="1:18" s="41" customFormat="1" ht="32.1">
      <c r="A15" s="18" t="s">
        <v>66</v>
      </c>
      <c r="B15" s="18" t="s">
        <v>61</v>
      </c>
      <c r="C15" s="80" t="s">
        <v>67</v>
      </c>
      <c r="D15" s="80" t="s">
        <v>68</v>
      </c>
      <c r="E15" s="80" t="s">
        <v>46</v>
      </c>
      <c r="F15" s="80" t="s">
        <v>69</v>
      </c>
      <c r="G15" s="85" t="s">
        <v>70</v>
      </c>
      <c r="H15" s="85" t="s">
        <v>57</v>
      </c>
      <c r="I15" s="80" t="s">
        <v>71</v>
      </c>
      <c r="J15" s="80">
        <v>127930752</v>
      </c>
      <c r="K15" s="18" t="s">
        <v>50</v>
      </c>
      <c r="L15" s="60">
        <v>17564970</v>
      </c>
      <c r="M15" s="85"/>
      <c r="N15" s="18"/>
      <c r="O15" s="80"/>
      <c r="P15" s="80"/>
      <c r="Q15" s="86"/>
      <c r="R15" s="61"/>
    </row>
    <row r="16" spans="1:18" s="41" customFormat="1" ht="96">
      <c r="A16" s="18" t="s">
        <v>72</v>
      </c>
      <c r="B16" s="18" t="s">
        <v>73</v>
      </c>
      <c r="C16" s="80" t="s">
        <v>74</v>
      </c>
      <c r="D16" s="80" t="s">
        <v>75</v>
      </c>
      <c r="E16" s="80" t="s">
        <v>46</v>
      </c>
      <c r="F16" s="85" t="s">
        <v>76</v>
      </c>
      <c r="G16" s="85" t="s">
        <v>77</v>
      </c>
      <c r="H16" s="85" t="s">
        <v>57</v>
      </c>
      <c r="I16" s="80" t="s">
        <v>78</v>
      </c>
      <c r="J16" s="80">
        <v>127921860</v>
      </c>
      <c r="K16" s="18" t="s">
        <v>50</v>
      </c>
      <c r="L16" s="60">
        <v>17564970</v>
      </c>
      <c r="M16" s="85"/>
      <c r="N16" s="85" t="s">
        <v>79</v>
      </c>
      <c r="O16" s="80"/>
      <c r="P16" s="80"/>
      <c r="Q16" s="86"/>
      <c r="R16" s="61"/>
    </row>
    <row r="17" spans="1:18" s="41" customFormat="1" ht="32.1">
      <c r="A17" s="18" t="s">
        <v>80</v>
      </c>
      <c r="B17" s="18" t="s">
        <v>81</v>
      </c>
      <c r="C17" s="80" t="s">
        <v>82</v>
      </c>
      <c r="D17" s="80" t="s">
        <v>83</v>
      </c>
      <c r="E17" s="80" t="s">
        <v>46</v>
      </c>
      <c r="F17" s="80" t="s">
        <v>69</v>
      </c>
      <c r="G17" s="85" t="s">
        <v>70</v>
      </c>
      <c r="H17" s="85" t="s">
        <v>57</v>
      </c>
      <c r="I17" s="80" t="s">
        <v>84</v>
      </c>
      <c r="J17" s="80">
        <v>127921588</v>
      </c>
      <c r="K17" s="18" t="s">
        <v>50</v>
      </c>
      <c r="L17" s="63">
        <v>17564970</v>
      </c>
      <c r="M17" s="85"/>
      <c r="N17" s="85"/>
      <c r="O17" s="80"/>
      <c r="P17" s="80"/>
      <c r="Q17" s="86"/>
      <c r="R17" s="61"/>
    </row>
    <row r="18" spans="1:18" s="41" customFormat="1">
      <c r="A18" s="18" t="s">
        <v>85</v>
      </c>
      <c r="B18" s="18" t="s">
        <v>86</v>
      </c>
      <c r="C18" s="80" t="s">
        <v>87</v>
      </c>
      <c r="D18" s="80" t="s">
        <v>88</v>
      </c>
      <c r="E18" s="80" t="s">
        <v>46</v>
      </c>
      <c r="F18" s="80" t="s">
        <v>64</v>
      </c>
      <c r="G18" s="85" t="s">
        <v>49</v>
      </c>
      <c r="H18" s="85" t="s">
        <v>49</v>
      </c>
      <c r="I18" s="80" t="s">
        <v>89</v>
      </c>
      <c r="J18" s="80">
        <v>127957552</v>
      </c>
      <c r="K18" s="62" t="s">
        <v>90</v>
      </c>
      <c r="L18" s="60">
        <v>19177532</v>
      </c>
      <c r="M18" s="85"/>
      <c r="N18" s="85"/>
      <c r="O18" s="80"/>
      <c r="P18" s="80"/>
      <c r="Q18" s="86"/>
      <c r="R18" s="61"/>
    </row>
    <row r="19" spans="1:18" s="41" customFormat="1" ht="30.75">
      <c r="A19" s="18" t="s">
        <v>91</v>
      </c>
      <c r="B19" s="18" t="s">
        <v>61</v>
      </c>
      <c r="C19" s="80" t="s">
        <v>92</v>
      </c>
      <c r="D19" s="80" t="s">
        <v>93</v>
      </c>
      <c r="E19" s="80" t="s">
        <v>46</v>
      </c>
      <c r="F19" s="80" t="s">
        <v>69</v>
      </c>
      <c r="G19" s="85" t="s">
        <v>70</v>
      </c>
      <c r="H19" s="85" t="s">
        <v>94</v>
      </c>
      <c r="I19" s="80" t="s">
        <v>95</v>
      </c>
      <c r="J19" s="80">
        <v>127930800</v>
      </c>
      <c r="K19" s="62" t="s">
        <v>90</v>
      </c>
      <c r="L19" s="63">
        <v>19177532</v>
      </c>
      <c r="M19" s="85"/>
      <c r="N19" s="85"/>
      <c r="O19" s="80"/>
      <c r="P19" s="80"/>
      <c r="Q19" s="86"/>
      <c r="R19" s="61"/>
    </row>
    <row r="20" spans="1:18" s="41" customFormat="1" ht="32.1">
      <c r="A20" s="18" t="s">
        <v>96</v>
      </c>
      <c r="B20" s="18" t="s">
        <v>97</v>
      </c>
      <c r="C20" s="80" t="s">
        <v>98</v>
      </c>
      <c r="D20" s="80" t="s">
        <v>99</v>
      </c>
      <c r="E20" s="80" t="s">
        <v>46</v>
      </c>
      <c r="F20" s="80" t="s">
        <v>69</v>
      </c>
      <c r="G20" s="85" t="s">
        <v>70</v>
      </c>
      <c r="H20" s="85" t="s">
        <v>49</v>
      </c>
      <c r="I20" s="80" t="s">
        <v>100</v>
      </c>
      <c r="J20" s="80">
        <v>127920794</v>
      </c>
      <c r="K20" s="62" t="s">
        <v>59</v>
      </c>
      <c r="L20" s="60">
        <v>19201763</v>
      </c>
      <c r="M20" s="85"/>
      <c r="N20" s="85"/>
      <c r="O20" s="80"/>
      <c r="P20" s="80"/>
      <c r="Q20" s="86"/>
      <c r="R20" s="61"/>
    </row>
    <row r="21" spans="1:18" s="41" customFormat="1" ht="32.1">
      <c r="A21" s="18" t="s">
        <v>101</v>
      </c>
      <c r="B21" s="18" t="s">
        <v>86</v>
      </c>
      <c r="C21" s="80" t="s">
        <v>102</v>
      </c>
      <c r="D21" s="80" t="s">
        <v>103</v>
      </c>
      <c r="E21" s="80" t="s">
        <v>46</v>
      </c>
      <c r="F21" s="80" t="s">
        <v>69</v>
      </c>
      <c r="G21" s="85" t="s">
        <v>70</v>
      </c>
      <c r="H21" s="85" t="s">
        <v>49</v>
      </c>
      <c r="I21" s="80" t="s">
        <v>104</v>
      </c>
      <c r="J21" s="80">
        <v>127957501</v>
      </c>
      <c r="K21" s="62" t="s">
        <v>90</v>
      </c>
      <c r="L21" s="60">
        <v>19177532</v>
      </c>
      <c r="M21" s="85"/>
      <c r="N21" s="85"/>
      <c r="O21" s="80"/>
      <c r="P21" s="80"/>
      <c r="Q21" s="86"/>
      <c r="R21" s="61"/>
    </row>
    <row r="22" spans="1:18" s="41" customFormat="1" ht="48">
      <c r="A22" s="18" t="s">
        <v>105</v>
      </c>
      <c r="B22" s="18" t="s">
        <v>106</v>
      </c>
      <c r="C22" s="85" t="s">
        <v>107</v>
      </c>
      <c r="D22" s="80" t="s">
        <v>49</v>
      </c>
      <c r="E22" s="80" t="s">
        <v>108</v>
      </c>
      <c r="F22" s="85" t="s">
        <v>55</v>
      </c>
      <c r="G22" s="85" t="s">
        <v>109</v>
      </c>
      <c r="H22" s="85" t="s">
        <v>57</v>
      </c>
      <c r="I22" s="80" t="s">
        <v>110</v>
      </c>
      <c r="J22" s="80" t="s">
        <v>111</v>
      </c>
      <c r="K22" s="62" t="s">
        <v>90</v>
      </c>
      <c r="L22" s="63">
        <v>19177532</v>
      </c>
      <c r="M22" s="85" t="s">
        <v>112</v>
      </c>
      <c r="N22" s="85"/>
      <c r="O22" s="80"/>
      <c r="P22" s="80"/>
      <c r="Q22" s="86"/>
      <c r="R22" s="61"/>
    </row>
    <row r="23" spans="1:18" s="41" customFormat="1" ht="32.1">
      <c r="A23" s="18" t="s">
        <v>113</v>
      </c>
      <c r="B23" s="18" t="s">
        <v>81</v>
      </c>
      <c r="C23" s="80" t="s">
        <v>114</v>
      </c>
      <c r="D23" s="80" t="s">
        <v>115</v>
      </c>
      <c r="E23" s="80" t="s">
        <v>46</v>
      </c>
      <c r="F23" s="80" t="s">
        <v>64</v>
      </c>
      <c r="G23" s="85" t="s">
        <v>49</v>
      </c>
      <c r="H23" s="85" t="s">
        <v>57</v>
      </c>
      <c r="I23" s="80" t="s">
        <v>116</v>
      </c>
      <c r="J23" s="80">
        <v>127921733</v>
      </c>
      <c r="K23" s="62" t="s">
        <v>90</v>
      </c>
      <c r="L23" s="60">
        <v>19177532</v>
      </c>
      <c r="M23" s="85"/>
      <c r="N23" s="85" t="s">
        <v>117</v>
      </c>
      <c r="O23" s="80"/>
      <c r="P23" s="80"/>
      <c r="Q23" s="86"/>
      <c r="R23" s="61"/>
    </row>
    <row r="24" spans="1:18" s="41" customFormat="1" ht="32.1">
      <c r="A24" s="18" t="s">
        <v>118</v>
      </c>
      <c r="B24" s="18" t="s">
        <v>97</v>
      </c>
      <c r="C24" s="80" t="s">
        <v>119</v>
      </c>
      <c r="D24" s="85" t="s">
        <v>120</v>
      </c>
      <c r="E24" s="80" t="s">
        <v>46</v>
      </c>
      <c r="F24" s="80" t="s">
        <v>64</v>
      </c>
      <c r="G24" s="85" t="s">
        <v>49</v>
      </c>
      <c r="H24" s="85" t="s">
        <v>121</v>
      </c>
      <c r="I24" s="80" t="s">
        <v>122</v>
      </c>
      <c r="J24" s="80">
        <v>127920743</v>
      </c>
      <c r="K24" s="62" t="s">
        <v>90</v>
      </c>
      <c r="L24" s="63">
        <v>19177532</v>
      </c>
      <c r="M24" s="85"/>
      <c r="N24" s="85"/>
      <c r="O24" s="80"/>
      <c r="P24" s="80"/>
      <c r="Q24" s="86"/>
      <c r="R24" s="61"/>
    </row>
    <row r="25" spans="1:18" s="41" customFormat="1" ht="80.099999999999994">
      <c r="A25" s="65" t="s">
        <v>123</v>
      </c>
      <c r="B25" s="65" t="s">
        <v>124</v>
      </c>
      <c r="C25" s="80" t="s">
        <v>125</v>
      </c>
      <c r="D25" s="80" t="s">
        <v>126</v>
      </c>
      <c r="E25" s="80" t="s">
        <v>46</v>
      </c>
      <c r="F25" s="80" t="s">
        <v>69</v>
      </c>
      <c r="G25" s="85" t="s">
        <v>49</v>
      </c>
      <c r="H25" s="85" t="s">
        <v>49</v>
      </c>
      <c r="I25" s="80" t="s">
        <v>49</v>
      </c>
      <c r="J25" s="80">
        <v>127965132</v>
      </c>
      <c r="K25" s="62" t="s">
        <v>90</v>
      </c>
      <c r="L25" s="60">
        <v>19177532</v>
      </c>
      <c r="M25" s="85" t="s">
        <v>127</v>
      </c>
      <c r="N25" s="85" t="s">
        <v>128</v>
      </c>
      <c r="O25" s="80"/>
      <c r="P25" s="80"/>
      <c r="Q25" s="86"/>
      <c r="R25" s="66"/>
    </row>
    <row r="26" spans="1:18" s="41" customFormat="1" ht="48">
      <c r="A26" s="18" t="s">
        <v>129</v>
      </c>
      <c r="B26" s="18" t="s">
        <v>106</v>
      </c>
      <c r="C26" s="80" t="s">
        <v>130</v>
      </c>
      <c r="D26" s="80" t="s">
        <v>49</v>
      </c>
      <c r="E26" s="80" t="s">
        <v>46</v>
      </c>
      <c r="F26" s="85" t="s">
        <v>55</v>
      </c>
      <c r="G26" s="85" t="s">
        <v>56</v>
      </c>
      <c r="H26" s="85" t="s">
        <v>49</v>
      </c>
      <c r="I26" s="80" t="s">
        <v>49</v>
      </c>
      <c r="J26" s="80">
        <v>127932984</v>
      </c>
      <c r="K26" s="62" t="s">
        <v>90</v>
      </c>
      <c r="L26" s="60">
        <v>19177532</v>
      </c>
      <c r="M26" s="85"/>
      <c r="N26" s="85"/>
      <c r="O26" s="80"/>
      <c r="P26" s="80"/>
      <c r="Q26" s="86"/>
      <c r="R26" s="61"/>
    </row>
    <row r="27" spans="1:18" s="41" customFormat="1">
      <c r="A27" s="18" t="s">
        <v>131</v>
      </c>
      <c r="B27" s="18" t="s">
        <v>43</v>
      </c>
      <c r="C27" s="80" t="s">
        <v>132</v>
      </c>
      <c r="D27" s="80" t="s">
        <v>133</v>
      </c>
      <c r="E27" s="87" t="s">
        <v>134</v>
      </c>
      <c r="F27" s="80" t="s">
        <v>135</v>
      </c>
      <c r="G27" s="85" t="s">
        <v>49</v>
      </c>
      <c r="H27" s="85" t="s">
        <v>49</v>
      </c>
      <c r="I27" s="80" t="s">
        <v>49</v>
      </c>
      <c r="J27" s="80">
        <v>127939907</v>
      </c>
      <c r="K27" s="62" t="s">
        <v>90</v>
      </c>
      <c r="L27" s="60">
        <v>19177532</v>
      </c>
      <c r="M27" s="85"/>
      <c r="N27" s="85"/>
      <c r="O27" s="80"/>
      <c r="P27" s="80"/>
      <c r="Q27" s="86"/>
      <c r="R27" s="61"/>
    </row>
    <row r="28" spans="1:18" s="41" customFormat="1" ht="32.1">
      <c r="A28" s="18" t="s">
        <v>136</v>
      </c>
      <c r="B28" s="18" t="s">
        <v>137</v>
      </c>
      <c r="C28" s="80" t="s">
        <v>138</v>
      </c>
      <c r="D28" s="80" t="s">
        <v>139</v>
      </c>
      <c r="E28" s="80" t="s">
        <v>46</v>
      </c>
      <c r="F28" s="80" t="s">
        <v>69</v>
      </c>
      <c r="G28" s="85" t="s">
        <v>70</v>
      </c>
      <c r="H28" s="85" t="s">
        <v>140</v>
      </c>
      <c r="I28" s="80" t="s">
        <v>141</v>
      </c>
      <c r="J28" s="80">
        <v>127943775</v>
      </c>
      <c r="K28" s="62" t="s">
        <v>59</v>
      </c>
      <c r="L28" s="60">
        <v>19201763</v>
      </c>
      <c r="M28" s="85"/>
      <c r="N28" s="85"/>
      <c r="O28" s="80"/>
      <c r="P28" s="80"/>
      <c r="Q28" s="86"/>
      <c r="R28" s="61"/>
    </row>
    <row r="29" spans="1:18" s="41" customFormat="1" ht="32.1">
      <c r="A29" s="18" t="s">
        <v>142</v>
      </c>
      <c r="B29" s="18" t="s">
        <v>143</v>
      </c>
      <c r="C29" s="80" t="s">
        <v>144</v>
      </c>
      <c r="D29" s="80" t="s">
        <v>145</v>
      </c>
      <c r="E29" s="80" t="s">
        <v>146</v>
      </c>
      <c r="F29" s="80" t="s">
        <v>69</v>
      </c>
      <c r="G29" s="85" t="s">
        <v>70</v>
      </c>
      <c r="H29" s="85" t="s">
        <v>49</v>
      </c>
      <c r="I29" s="80" t="s">
        <v>49</v>
      </c>
      <c r="J29" s="80">
        <v>127942129</v>
      </c>
      <c r="K29" s="62" t="s">
        <v>59</v>
      </c>
      <c r="L29" s="60">
        <v>19201763</v>
      </c>
      <c r="M29" s="85"/>
      <c r="N29" s="85"/>
      <c r="O29" s="80"/>
      <c r="P29" s="80"/>
      <c r="Q29" s="86"/>
      <c r="R29" s="61"/>
    </row>
    <row r="30" spans="1:18" s="41" customFormat="1" ht="45.75">
      <c r="A30" s="18" t="s">
        <v>147</v>
      </c>
      <c r="B30" s="18" t="s">
        <v>148</v>
      </c>
      <c r="C30" s="80" t="s">
        <v>149</v>
      </c>
      <c r="D30" s="80" t="s">
        <v>49</v>
      </c>
      <c r="E30" s="80" t="s">
        <v>134</v>
      </c>
      <c r="F30" s="85" t="s">
        <v>150</v>
      </c>
      <c r="G30" s="85" t="s">
        <v>56</v>
      </c>
      <c r="H30" s="85" t="s">
        <v>49</v>
      </c>
      <c r="I30" s="80" t="s">
        <v>49</v>
      </c>
      <c r="J30" s="80">
        <v>127921772</v>
      </c>
      <c r="K30" s="62" t="s">
        <v>59</v>
      </c>
      <c r="L30" s="63">
        <v>19201763</v>
      </c>
      <c r="M30" s="85"/>
      <c r="N30" s="85"/>
      <c r="O30" s="80"/>
      <c r="P30" s="80"/>
      <c r="Q30" s="86"/>
      <c r="R30" s="61"/>
    </row>
    <row r="31" spans="1:18" s="41" customFormat="1" ht="32.1">
      <c r="A31" s="18" t="s">
        <v>151</v>
      </c>
      <c r="B31" s="18" t="s">
        <v>137</v>
      </c>
      <c r="C31" s="80" t="s">
        <v>152</v>
      </c>
      <c r="D31" s="80" t="s">
        <v>153</v>
      </c>
      <c r="E31" s="80" t="s">
        <v>46</v>
      </c>
      <c r="F31" s="80" t="s">
        <v>64</v>
      </c>
      <c r="G31" s="85" t="s">
        <v>49</v>
      </c>
      <c r="H31" s="85" t="s">
        <v>49</v>
      </c>
      <c r="I31" s="80" t="s">
        <v>49</v>
      </c>
      <c r="J31" s="80">
        <v>127943932</v>
      </c>
      <c r="K31" s="64" t="s">
        <v>154</v>
      </c>
      <c r="L31" s="67">
        <v>21990111</v>
      </c>
      <c r="M31" s="85"/>
      <c r="N31" s="85" t="s">
        <v>155</v>
      </c>
      <c r="O31" s="80"/>
      <c r="P31" s="80"/>
      <c r="Q31" s="86"/>
      <c r="R31" s="61"/>
    </row>
    <row r="32" spans="1:18" s="41" customFormat="1" ht="48">
      <c r="A32" s="18" t="s">
        <v>156</v>
      </c>
      <c r="B32" s="18" t="s">
        <v>137</v>
      </c>
      <c r="C32" s="80" t="s">
        <v>157</v>
      </c>
      <c r="D32" s="80" t="s">
        <v>158</v>
      </c>
      <c r="E32" s="80" t="s">
        <v>46</v>
      </c>
      <c r="F32" s="80" t="s">
        <v>69</v>
      </c>
      <c r="G32" s="85" t="s">
        <v>159</v>
      </c>
      <c r="H32" s="85" t="s">
        <v>160</v>
      </c>
      <c r="I32" s="80" t="s">
        <v>161</v>
      </c>
      <c r="J32" s="80">
        <v>127943829</v>
      </c>
      <c r="K32" s="62" t="s">
        <v>162</v>
      </c>
      <c r="L32" s="60">
        <v>18850119</v>
      </c>
      <c r="M32" s="85"/>
      <c r="N32" s="85" t="s">
        <v>163</v>
      </c>
      <c r="O32" s="80"/>
      <c r="P32" s="80"/>
      <c r="Q32" s="86"/>
      <c r="R32" s="61"/>
    </row>
    <row r="33" spans="1:18" s="41" customFormat="1" ht="48">
      <c r="A33" s="65" t="s">
        <v>164</v>
      </c>
      <c r="B33" s="65" t="s">
        <v>81</v>
      </c>
      <c r="C33" s="80" t="s">
        <v>165</v>
      </c>
      <c r="D33" s="80" t="s">
        <v>166</v>
      </c>
      <c r="E33" s="80" t="s">
        <v>46</v>
      </c>
      <c r="F33" s="80" t="s">
        <v>69</v>
      </c>
      <c r="G33" s="85" t="s">
        <v>70</v>
      </c>
      <c r="H33" s="85" t="s">
        <v>49</v>
      </c>
      <c r="I33" s="80" t="s">
        <v>49</v>
      </c>
      <c r="J33" s="80">
        <v>127921534</v>
      </c>
      <c r="K33" s="62" t="s">
        <v>90</v>
      </c>
      <c r="L33" s="60">
        <v>19177532</v>
      </c>
      <c r="M33" s="85"/>
      <c r="N33" s="85" t="s">
        <v>167</v>
      </c>
      <c r="O33" s="80" t="s">
        <v>168</v>
      </c>
      <c r="P33" s="80"/>
      <c r="Q33" s="86"/>
      <c r="R33" s="66"/>
    </row>
    <row r="34" spans="1:18" s="41" customFormat="1" ht="48">
      <c r="A34" s="18" t="s">
        <v>169</v>
      </c>
      <c r="B34" s="18" t="s">
        <v>170</v>
      </c>
      <c r="C34" s="80" t="s">
        <v>171</v>
      </c>
      <c r="D34" s="80" t="s">
        <v>49</v>
      </c>
      <c r="E34" s="80" t="s">
        <v>134</v>
      </c>
      <c r="F34" s="80" t="s">
        <v>172</v>
      </c>
      <c r="G34" s="85" t="s">
        <v>173</v>
      </c>
      <c r="H34" s="85" t="s">
        <v>49</v>
      </c>
      <c r="I34" s="80" t="s">
        <v>49</v>
      </c>
      <c r="J34" s="80">
        <v>127957595</v>
      </c>
      <c r="K34" s="85" t="s">
        <v>59</v>
      </c>
      <c r="L34" s="63">
        <v>19201763</v>
      </c>
      <c r="M34" s="85"/>
      <c r="N34" s="85"/>
      <c r="O34" s="80" t="s">
        <v>168</v>
      </c>
      <c r="P34" s="80"/>
      <c r="Q34" s="86"/>
      <c r="R34" s="61"/>
    </row>
    <row r="35" spans="1:18" s="41" customFormat="1" ht="33.75">
      <c r="A35" s="18" t="s">
        <v>174</v>
      </c>
      <c r="B35" s="18" t="s">
        <v>81</v>
      </c>
      <c r="C35" s="80" t="s">
        <v>175</v>
      </c>
      <c r="D35" s="80" t="s">
        <v>176</v>
      </c>
      <c r="E35" s="80" t="s">
        <v>46</v>
      </c>
      <c r="F35" s="80" t="s">
        <v>69</v>
      </c>
      <c r="G35" s="85" t="s">
        <v>70</v>
      </c>
      <c r="H35" s="85" t="s">
        <v>94</v>
      </c>
      <c r="I35" s="80" t="s">
        <v>177</v>
      </c>
      <c r="J35" s="80">
        <v>127921639</v>
      </c>
      <c r="K35" s="62" t="s">
        <v>178</v>
      </c>
      <c r="L35" s="63">
        <v>19277732</v>
      </c>
      <c r="M35" s="85"/>
      <c r="N35" s="85"/>
      <c r="O35" s="80"/>
      <c r="P35" s="80"/>
      <c r="Q35" s="86"/>
      <c r="R35" s="61"/>
    </row>
    <row r="36" spans="1:18" s="41" customFormat="1" ht="32.1">
      <c r="A36" s="18" t="s">
        <v>179</v>
      </c>
      <c r="B36" s="18" t="s">
        <v>43</v>
      </c>
      <c r="C36" s="80" t="s">
        <v>180</v>
      </c>
      <c r="D36" s="80" t="s">
        <v>181</v>
      </c>
      <c r="E36" s="80" t="s">
        <v>134</v>
      </c>
      <c r="F36" s="80" t="s">
        <v>135</v>
      </c>
      <c r="G36" s="85" t="s">
        <v>49</v>
      </c>
      <c r="H36" s="85" t="s">
        <v>49</v>
      </c>
      <c r="I36" s="80" t="s">
        <v>49</v>
      </c>
      <c r="J36" s="80">
        <v>127939962</v>
      </c>
      <c r="K36" s="85" t="s">
        <v>182</v>
      </c>
      <c r="L36" s="80" t="s">
        <v>49</v>
      </c>
      <c r="M36" s="85" t="s">
        <v>183</v>
      </c>
      <c r="N36" s="85" t="s">
        <v>184</v>
      </c>
      <c r="O36" s="80"/>
      <c r="P36" s="80"/>
      <c r="Q36" s="86"/>
      <c r="R36" s="61"/>
    </row>
    <row r="37" spans="1:18" s="41" customFormat="1" ht="48">
      <c r="A37" s="18" t="s">
        <v>185</v>
      </c>
      <c r="B37" s="18" t="s">
        <v>143</v>
      </c>
      <c r="C37" s="80" t="s">
        <v>186</v>
      </c>
      <c r="D37" s="18" t="s">
        <v>187</v>
      </c>
      <c r="E37" s="18" t="s">
        <v>46</v>
      </c>
      <c r="F37" s="80" t="s">
        <v>69</v>
      </c>
      <c r="G37" s="85" t="s">
        <v>70</v>
      </c>
      <c r="H37" s="85" t="s">
        <v>49</v>
      </c>
      <c r="I37" s="80" t="s">
        <v>49</v>
      </c>
      <c r="J37" s="80">
        <v>127942119</v>
      </c>
      <c r="K37" s="64" t="s">
        <v>154</v>
      </c>
      <c r="L37" s="68">
        <v>21990111</v>
      </c>
      <c r="M37" s="85"/>
      <c r="N37" s="85" t="s">
        <v>188</v>
      </c>
      <c r="O37" s="80"/>
      <c r="P37" s="80"/>
      <c r="Q37" s="86"/>
      <c r="R37" s="61"/>
    </row>
    <row r="38" spans="1:18" s="41" customFormat="1" ht="32.1">
      <c r="A38" s="18" t="s">
        <v>189</v>
      </c>
      <c r="B38" s="18" t="s">
        <v>143</v>
      </c>
      <c r="C38" s="80" t="s">
        <v>190</v>
      </c>
      <c r="D38" s="18" t="s">
        <v>191</v>
      </c>
      <c r="E38" s="18" t="s">
        <v>46</v>
      </c>
      <c r="F38" s="80" t="s">
        <v>69</v>
      </c>
      <c r="G38" s="85" t="s">
        <v>70</v>
      </c>
      <c r="H38" s="85" t="s">
        <v>49</v>
      </c>
      <c r="I38" s="80" t="s">
        <v>192</v>
      </c>
      <c r="J38" s="80">
        <v>127942119</v>
      </c>
      <c r="K38" s="64" t="s">
        <v>154</v>
      </c>
      <c r="L38" s="68">
        <v>21990111</v>
      </c>
      <c r="M38" s="85"/>
      <c r="N38" s="85"/>
      <c r="O38" s="80"/>
      <c r="P38" s="80"/>
      <c r="Q38" s="86"/>
      <c r="R38" s="61"/>
    </row>
    <row r="39" spans="1:18" s="41" customFormat="1" ht="48">
      <c r="A39" s="18" t="s">
        <v>193</v>
      </c>
      <c r="B39" s="18" t="s">
        <v>194</v>
      </c>
      <c r="C39" s="80" t="s">
        <v>195</v>
      </c>
      <c r="D39" s="18" t="s">
        <v>49</v>
      </c>
      <c r="E39" s="18" t="s">
        <v>46</v>
      </c>
      <c r="F39" s="85" t="s">
        <v>150</v>
      </c>
      <c r="G39" s="85" t="s">
        <v>109</v>
      </c>
      <c r="H39" s="85" t="s">
        <v>49</v>
      </c>
      <c r="I39" s="80" t="s">
        <v>49</v>
      </c>
      <c r="J39" s="80">
        <v>127939998</v>
      </c>
      <c r="K39" s="64" t="s">
        <v>154</v>
      </c>
      <c r="L39" s="68">
        <v>21990111</v>
      </c>
      <c r="M39" s="85"/>
      <c r="N39" s="85"/>
      <c r="O39" s="80"/>
      <c r="P39" s="80"/>
      <c r="Q39" s="86"/>
      <c r="R39" s="61"/>
    </row>
    <row r="40" spans="1:18" s="41" customFormat="1" ht="48">
      <c r="A40" s="18" t="s">
        <v>196</v>
      </c>
      <c r="B40" s="18" t="s">
        <v>53</v>
      </c>
      <c r="C40" s="80" t="s">
        <v>197</v>
      </c>
      <c r="D40" s="18" t="s">
        <v>49</v>
      </c>
      <c r="E40" s="18" t="s">
        <v>46</v>
      </c>
      <c r="F40" s="85" t="s">
        <v>55</v>
      </c>
      <c r="G40" s="85" t="s">
        <v>56</v>
      </c>
      <c r="H40" s="85" t="s">
        <v>49</v>
      </c>
      <c r="I40" s="80" t="s">
        <v>49</v>
      </c>
      <c r="J40" s="80">
        <v>127938782</v>
      </c>
      <c r="K40" s="64" t="s">
        <v>154</v>
      </c>
      <c r="L40" s="68">
        <v>21990111</v>
      </c>
      <c r="M40" s="85"/>
      <c r="N40" s="85"/>
      <c r="O40" s="80"/>
      <c r="P40" s="80"/>
      <c r="Q40" s="86"/>
      <c r="R40" s="61"/>
    </row>
    <row r="41" spans="1:18" s="41" customFormat="1" ht="48">
      <c r="A41" s="18" t="s">
        <v>198</v>
      </c>
      <c r="B41" s="18" t="s">
        <v>97</v>
      </c>
      <c r="C41" s="80" t="s">
        <v>199</v>
      </c>
      <c r="D41" s="18" t="s">
        <v>200</v>
      </c>
      <c r="E41" s="18" t="s">
        <v>46</v>
      </c>
      <c r="F41" s="80" t="s">
        <v>69</v>
      </c>
      <c r="G41" s="85" t="s">
        <v>70</v>
      </c>
      <c r="H41" s="85" t="s">
        <v>49</v>
      </c>
      <c r="I41" s="80" t="s">
        <v>49</v>
      </c>
      <c r="J41" s="80">
        <v>127920814</v>
      </c>
      <c r="K41" s="64" t="s">
        <v>154</v>
      </c>
      <c r="L41" s="68">
        <v>21990111</v>
      </c>
      <c r="M41" s="85"/>
      <c r="N41" s="85" t="s">
        <v>201</v>
      </c>
      <c r="O41" s="80"/>
      <c r="P41" s="80"/>
      <c r="Q41" s="86"/>
      <c r="R41" s="61"/>
    </row>
    <row r="42" spans="1:18" s="41" customFormat="1" ht="32.1">
      <c r="A42" s="18" t="s">
        <v>202</v>
      </c>
      <c r="B42" s="18" t="s">
        <v>97</v>
      </c>
      <c r="C42" s="80" t="s">
        <v>203</v>
      </c>
      <c r="D42" s="18" t="s">
        <v>204</v>
      </c>
      <c r="E42" s="18" t="s">
        <v>46</v>
      </c>
      <c r="F42" s="80" t="s">
        <v>69</v>
      </c>
      <c r="G42" s="85" t="s">
        <v>205</v>
      </c>
      <c r="H42" s="85" t="s">
        <v>206</v>
      </c>
      <c r="I42" s="80" t="s">
        <v>207</v>
      </c>
      <c r="J42" s="80">
        <v>127920779</v>
      </c>
      <c r="K42" s="64" t="s">
        <v>154</v>
      </c>
      <c r="L42" s="68">
        <v>21990111</v>
      </c>
      <c r="M42" s="85"/>
      <c r="N42" s="85" t="s">
        <v>208</v>
      </c>
      <c r="O42" s="80"/>
      <c r="P42" s="80"/>
      <c r="Q42" s="86"/>
      <c r="R42" s="61"/>
    </row>
    <row r="43" spans="1:18" s="41" customFormat="1" ht="30.75">
      <c r="A43" s="18" t="s">
        <v>209</v>
      </c>
      <c r="B43" s="18" t="s">
        <v>97</v>
      </c>
      <c r="C43" s="80" t="s">
        <v>210</v>
      </c>
      <c r="D43" s="18" t="s">
        <v>211</v>
      </c>
      <c r="E43" s="18" t="s">
        <v>46</v>
      </c>
      <c r="F43" s="80" t="s">
        <v>69</v>
      </c>
      <c r="G43" s="85" t="s">
        <v>159</v>
      </c>
      <c r="H43" s="85" t="s">
        <v>49</v>
      </c>
      <c r="I43" s="80" t="s">
        <v>212</v>
      </c>
      <c r="J43" s="80">
        <v>127920793</v>
      </c>
      <c r="K43" s="64" t="s">
        <v>154</v>
      </c>
      <c r="L43" s="68">
        <v>21990111</v>
      </c>
      <c r="M43" s="85"/>
      <c r="N43" s="85"/>
      <c r="O43" s="80"/>
      <c r="P43" s="80"/>
      <c r="Q43" s="86"/>
      <c r="R43" s="61"/>
    </row>
    <row r="44" spans="1:18" s="41" customFormat="1" ht="16.5">
      <c r="A44" s="18" t="s">
        <v>213</v>
      </c>
      <c r="B44" s="18" t="s">
        <v>97</v>
      </c>
      <c r="C44" s="80" t="s">
        <v>214</v>
      </c>
      <c r="D44" s="18" t="s">
        <v>215</v>
      </c>
      <c r="E44" s="18" t="s">
        <v>46</v>
      </c>
      <c r="F44" s="80" t="s">
        <v>64</v>
      </c>
      <c r="G44" s="85" t="s">
        <v>49</v>
      </c>
      <c r="H44" s="85" t="s">
        <v>49</v>
      </c>
      <c r="I44" s="80" t="s">
        <v>49</v>
      </c>
      <c r="J44" s="80">
        <v>127920767</v>
      </c>
      <c r="K44" s="64" t="s">
        <v>154</v>
      </c>
      <c r="L44" s="68">
        <v>21990111</v>
      </c>
      <c r="M44" s="85"/>
      <c r="N44" s="85"/>
      <c r="O44" s="80"/>
      <c r="P44" s="80"/>
      <c r="Q44" s="86"/>
      <c r="R44" s="61"/>
    </row>
    <row r="45" spans="1:18" s="41" customFormat="1" ht="32.1">
      <c r="A45" s="18" t="s">
        <v>216</v>
      </c>
      <c r="B45" s="18" t="s">
        <v>73</v>
      </c>
      <c r="C45" s="18" t="s">
        <v>217</v>
      </c>
      <c r="D45" s="18" t="s">
        <v>218</v>
      </c>
      <c r="E45" s="18" t="s">
        <v>46</v>
      </c>
      <c r="F45" s="18" t="s">
        <v>69</v>
      </c>
      <c r="G45" s="18" t="s">
        <v>219</v>
      </c>
      <c r="H45" s="85" t="s">
        <v>49</v>
      </c>
      <c r="I45" s="80" t="s">
        <v>220</v>
      </c>
      <c r="J45" s="80">
        <v>127921956</v>
      </c>
      <c r="K45" s="85" t="s">
        <v>221</v>
      </c>
      <c r="L45" s="68">
        <v>25227500</v>
      </c>
      <c r="M45" s="85"/>
      <c r="N45" s="85"/>
      <c r="O45" s="80"/>
      <c r="P45" s="80"/>
      <c r="Q45" s="86"/>
      <c r="R45" s="61"/>
    </row>
    <row r="46" spans="1:18" s="41" customFormat="1" ht="32.1">
      <c r="A46" s="18" t="s">
        <v>222</v>
      </c>
      <c r="B46" s="18" t="s">
        <v>143</v>
      </c>
      <c r="C46" s="18" t="s">
        <v>223</v>
      </c>
      <c r="D46" s="18" t="s">
        <v>224</v>
      </c>
      <c r="E46" s="18" t="s">
        <v>46</v>
      </c>
      <c r="F46" s="18" t="s">
        <v>69</v>
      </c>
      <c r="G46" s="18" t="s">
        <v>70</v>
      </c>
      <c r="H46" s="85" t="s">
        <v>49</v>
      </c>
      <c r="I46" s="80" t="s">
        <v>49</v>
      </c>
      <c r="J46" s="80">
        <v>127942126</v>
      </c>
      <c r="K46" s="85" t="s">
        <v>225</v>
      </c>
      <c r="L46" s="68">
        <v>25270050</v>
      </c>
      <c r="M46" s="85"/>
      <c r="N46" s="85"/>
      <c r="O46" s="80"/>
      <c r="P46" s="80"/>
      <c r="Q46" s="86"/>
      <c r="R46" s="61"/>
    </row>
    <row r="47" spans="1:18" s="41" customFormat="1" ht="91.5">
      <c r="A47" s="18" t="s">
        <v>226</v>
      </c>
      <c r="B47" s="18" t="s">
        <v>106</v>
      </c>
      <c r="C47" s="18" t="s">
        <v>227</v>
      </c>
      <c r="D47" s="18" t="s">
        <v>49</v>
      </c>
      <c r="E47" s="18" t="s">
        <v>228</v>
      </c>
      <c r="F47" s="18" t="s">
        <v>229</v>
      </c>
      <c r="G47" s="18" t="s">
        <v>77</v>
      </c>
      <c r="H47" s="85" t="s">
        <v>49</v>
      </c>
      <c r="I47" s="80" t="s">
        <v>49</v>
      </c>
      <c r="J47" s="80">
        <v>127932982</v>
      </c>
      <c r="K47" s="85" t="s">
        <v>230</v>
      </c>
      <c r="L47" s="80" t="s">
        <v>49</v>
      </c>
      <c r="M47" s="85"/>
      <c r="N47" s="85"/>
      <c r="O47" s="80"/>
      <c r="P47" s="80"/>
      <c r="Q47" s="86"/>
      <c r="R47" s="61"/>
    </row>
    <row r="48" spans="1:18" s="41" customFormat="1" ht="32.1">
      <c r="A48" s="18" t="s">
        <v>231</v>
      </c>
      <c r="B48" s="18" t="s">
        <v>81</v>
      </c>
      <c r="C48" s="18" t="s">
        <v>232</v>
      </c>
      <c r="D48" s="18" t="s">
        <v>233</v>
      </c>
      <c r="E48" s="18" t="s">
        <v>46</v>
      </c>
      <c r="F48" s="18" t="s">
        <v>69</v>
      </c>
      <c r="G48" s="18" t="s">
        <v>70</v>
      </c>
      <c r="H48" s="85" t="s">
        <v>49</v>
      </c>
      <c r="I48" s="80" t="s">
        <v>49</v>
      </c>
      <c r="J48" s="80">
        <v>127921655</v>
      </c>
      <c r="K48" s="85" t="s">
        <v>234</v>
      </c>
      <c r="L48" s="69">
        <v>25333361</v>
      </c>
      <c r="M48" s="85"/>
      <c r="N48" s="18"/>
      <c r="O48" s="80"/>
      <c r="P48" s="80"/>
      <c r="Q48" s="86"/>
      <c r="R48" s="61"/>
    </row>
    <row r="49" spans="1:18" s="41" customFormat="1" ht="63.95">
      <c r="A49" s="18" t="s">
        <v>235</v>
      </c>
      <c r="B49" s="18" t="s">
        <v>97</v>
      </c>
      <c r="C49" s="18" t="s">
        <v>236</v>
      </c>
      <c r="D49" s="18" t="s">
        <v>237</v>
      </c>
      <c r="E49" s="18" t="s">
        <v>46</v>
      </c>
      <c r="F49" s="18" t="s">
        <v>69</v>
      </c>
      <c r="G49" s="18" t="s">
        <v>159</v>
      </c>
      <c r="H49" s="85" t="s">
        <v>206</v>
      </c>
      <c r="I49" s="80" t="s">
        <v>238</v>
      </c>
      <c r="J49" s="80">
        <v>127920826</v>
      </c>
      <c r="K49" s="85" t="s">
        <v>234</v>
      </c>
      <c r="L49" s="69">
        <v>25333361</v>
      </c>
      <c r="M49" s="85"/>
      <c r="N49" s="18" t="s">
        <v>239</v>
      </c>
      <c r="O49" s="80"/>
      <c r="P49" s="80"/>
      <c r="Q49" s="86"/>
      <c r="R49" s="61"/>
    </row>
    <row r="50" spans="1:18" s="41" customFormat="1" ht="32.1">
      <c r="A50" s="18" t="s">
        <v>240</v>
      </c>
      <c r="B50" s="18" t="s">
        <v>97</v>
      </c>
      <c r="C50" s="18" t="s">
        <v>241</v>
      </c>
      <c r="D50" s="18" t="s">
        <v>242</v>
      </c>
      <c r="E50" s="18" t="s">
        <v>46</v>
      </c>
      <c r="F50" s="18" t="s">
        <v>64</v>
      </c>
      <c r="G50" s="18" t="s">
        <v>49</v>
      </c>
      <c r="H50" s="85" t="s">
        <v>49</v>
      </c>
      <c r="I50" s="80" t="s">
        <v>49</v>
      </c>
      <c r="J50" s="80">
        <v>127920820</v>
      </c>
      <c r="K50" s="85" t="s">
        <v>243</v>
      </c>
      <c r="L50" s="80" t="s">
        <v>49</v>
      </c>
      <c r="M50" s="85"/>
      <c r="N50" s="18"/>
      <c r="O50" s="80"/>
      <c r="P50" s="80"/>
      <c r="Q50" s="86"/>
      <c r="R50" s="61"/>
    </row>
    <row r="51" spans="1:18" s="41" customFormat="1">
      <c r="A51" s="18" t="s">
        <v>244</v>
      </c>
      <c r="B51" s="18" t="s">
        <v>137</v>
      </c>
      <c r="C51" s="18" t="s">
        <v>245</v>
      </c>
      <c r="D51" s="18" t="s">
        <v>246</v>
      </c>
      <c r="E51" s="18" t="s">
        <v>46</v>
      </c>
      <c r="F51" s="18" t="s">
        <v>64</v>
      </c>
      <c r="G51" s="18" t="s">
        <v>49</v>
      </c>
      <c r="H51" s="85" t="s">
        <v>140</v>
      </c>
      <c r="I51" s="80" t="s">
        <v>49</v>
      </c>
      <c r="J51" s="80">
        <v>127943958</v>
      </c>
      <c r="K51" s="85" t="s">
        <v>247</v>
      </c>
      <c r="L51" s="69">
        <v>28586915</v>
      </c>
      <c r="M51" s="85"/>
      <c r="N51" s="18"/>
      <c r="O51" s="80"/>
      <c r="P51" s="80"/>
      <c r="Q51" s="86"/>
      <c r="R51" s="61"/>
    </row>
    <row r="52" spans="1:18" s="41" customFormat="1" ht="48">
      <c r="A52" s="18" t="s">
        <v>248</v>
      </c>
      <c r="B52" s="18" t="s">
        <v>170</v>
      </c>
      <c r="C52" s="18" t="s">
        <v>249</v>
      </c>
      <c r="D52" s="18" t="s">
        <v>49</v>
      </c>
      <c r="E52" s="18" t="s">
        <v>46</v>
      </c>
      <c r="F52" s="18" t="s">
        <v>150</v>
      </c>
      <c r="G52" s="18" t="s">
        <v>56</v>
      </c>
      <c r="H52" s="85" t="s">
        <v>57</v>
      </c>
      <c r="I52" s="80" t="s">
        <v>49</v>
      </c>
      <c r="J52" s="80">
        <v>127957593</v>
      </c>
      <c r="K52" s="85" t="s">
        <v>230</v>
      </c>
      <c r="L52" s="80" t="s">
        <v>49</v>
      </c>
      <c r="M52" s="85"/>
      <c r="N52" s="18" t="s">
        <v>168</v>
      </c>
      <c r="O52" s="80"/>
      <c r="P52" s="80"/>
      <c r="Q52" s="86"/>
      <c r="R52" s="61"/>
    </row>
    <row r="53" spans="1:18" s="41" customFormat="1" ht="48">
      <c r="A53" s="18" t="s">
        <v>250</v>
      </c>
      <c r="B53" s="18" t="s">
        <v>194</v>
      </c>
      <c r="C53" s="18" t="s">
        <v>251</v>
      </c>
      <c r="D53" s="18" t="s">
        <v>49</v>
      </c>
      <c r="E53" s="18" t="s">
        <v>46</v>
      </c>
      <c r="F53" s="18" t="s">
        <v>252</v>
      </c>
      <c r="G53" s="18" t="s">
        <v>253</v>
      </c>
      <c r="H53" s="18" t="s">
        <v>49</v>
      </c>
      <c r="I53" s="18" t="s">
        <v>49</v>
      </c>
      <c r="J53" s="18">
        <v>127940002</v>
      </c>
      <c r="K53" s="85" t="s">
        <v>254</v>
      </c>
      <c r="L53" s="69">
        <v>31105743</v>
      </c>
      <c r="M53" s="18"/>
      <c r="N53" s="18"/>
      <c r="O53" s="18"/>
      <c r="P53" s="80"/>
      <c r="Q53" s="61"/>
      <c r="R53" s="61"/>
    </row>
    <row r="54" spans="1:18" s="41" customFormat="1">
      <c r="A54" s="18" t="s">
        <v>255</v>
      </c>
      <c r="B54" s="18" t="s">
        <v>143</v>
      </c>
      <c r="C54" s="18" t="s">
        <v>256</v>
      </c>
      <c r="D54" s="18" t="s">
        <v>257</v>
      </c>
      <c r="E54" s="18" t="s">
        <v>46</v>
      </c>
      <c r="F54" s="18" t="s">
        <v>64</v>
      </c>
      <c r="G54" s="18" t="s">
        <v>49</v>
      </c>
      <c r="H54" s="18" t="s">
        <v>94</v>
      </c>
      <c r="I54" s="18" t="s">
        <v>258</v>
      </c>
      <c r="J54" s="18">
        <v>127942073</v>
      </c>
      <c r="K54" s="85" t="s">
        <v>259</v>
      </c>
      <c r="L54" s="69">
        <v>6109285</v>
      </c>
      <c r="M54" s="18"/>
      <c r="N54" s="18"/>
      <c r="O54" s="18"/>
      <c r="P54" s="80"/>
      <c r="Q54" s="82"/>
      <c r="R54" s="82"/>
    </row>
    <row r="55" spans="1:18" s="41" customFormat="1" ht="32.1">
      <c r="A55" s="70" t="s">
        <v>260</v>
      </c>
      <c r="B55" s="71" t="s">
        <v>137</v>
      </c>
      <c r="C55" s="71" t="s">
        <v>261</v>
      </c>
      <c r="D55" s="71" t="s">
        <v>262</v>
      </c>
      <c r="E55" s="71" t="s">
        <v>134</v>
      </c>
      <c r="F55" s="71" t="s">
        <v>134</v>
      </c>
      <c r="G55" s="71" t="s">
        <v>49</v>
      </c>
      <c r="H55" s="71" t="s">
        <v>49</v>
      </c>
      <c r="I55" s="71" t="s">
        <v>49</v>
      </c>
      <c r="J55" s="71" t="s">
        <v>263</v>
      </c>
      <c r="K55" s="88" t="s">
        <v>264</v>
      </c>
      <c r="L55" s="72">
        <v>30249282</v>
      </c>
      <c r="M55" s="88"/>
      <c r="N55" s="85"/>
      <c r="O55" s="80"/>
      <c r="P55" s="80"/>
      <c r="Q55" s="82"/>
      <c r="R55" s="82"/>
    </row>
    <row r="56" spans="1:18" s="41" customFormat="1" ht="32.1">
      <c r="A56" s="70" t="s">
        <v>265</v>
      </c>
      <c r="B56" s="71" t="s">
        <v>43</v>
      </c>
      <c r="C56" s="89" t="s">
        <v>266</v>
      </c>
      <c r="D56" s="89" t="s">
        <v>181</v>
      </c>
      <c r="E56" s="89" t="s">
        <v>134</v>
      </c>
      <c r="F56" s="89" t="s">
        <v>135</v>
      </c>
      <c r="G56" s="88" t="s">
        <v>49</v>
      </c>
      <c r="H56" s="88" t="s">
        <v>49</v>
      </c>
      <c r="I56" s="89" t="s">
        <v>49</v>
      </c>
      <c r="J56" s="89">
        <v>127939960</v>
      </c>
      <c r="K56" s="73" t="s">
        <v>267</v>
      </c>
      <c r="L56" s="74">
        <v>31721179</v>
      </c>
      <c r="M56" s="45"/>
      <c r="N56" s="88" t="s">
        <v>268</v>
      </c>
      <c r="O56" s="80"/>
      <c r="P56" s="80"/>
      <c r="Q56" s="82"/>
      <c r="R56" s="82"/>
    </row>
    <row r="57" spans="1:18" s="41" customFormat="1" ht="48">
      <c r="A57" s="18" t="s">
        <v>269</v>
      </c>
      <c r="B57" s="18" t="s">
        <v>270</v>
      </c>
      <c r="C57" s="80" t="s">
        <v>271</v>
      </c>
      <c r="D57" s="80" t="s">
        <v>272</v>
      </c>
      <c r="E57" s="80" t="s">
        <v>46</v>
      </c>
      <c r="F57" s="80" t="s">
        <v>135</v>
      </c>
      <c r="G57" s="85" t="s">
        <v>49</v>
      </c>
      <c r="H57" s="85" t="s">
        <v>49</v>
      </c>
      <c r="I57" s="80" t="s">
        <v>49</v>
      </c>
      <c r="J57" s="80">
        <v>127943749</v>
      </c>
      <c r="K57" s="62" t="s">
        <v>267</v>
      </c>
      <c r="L57" s="63">
        <v>31721179</v>
      </c>
      <c r="M57" s="45"/>
      <c r="N57" s="85" t="s">
        <v>273</v>
      </c>
      <c r="O57" s="80"/>
      <c r="P57" s="80"/>
      <c r="Q57" s="82"/>
      <c r="R57" s="82"/>
    </row>
    <row r="58" spans="1:18" s="41" customFormat="1">
      <c r="A58" s="18" t="s">
        <v>274</v>
      </c>
      <c r="B58" s="18" t="s">
        <v>86</v>
      </c>
      <c r="C58" s="18" t="s">
        <v>275</v>
      </c>
      <c r="D58" s="80" t="s">
        <v>276</v>
      </c>
      <c r="E58" s="80" t="s">
        <v>134</v>
      </c>
      <c r="F58" s="80" t="s">
        <v>135</v>
      </c>
      <c r="G58" s="85" t="s">
        <v>49</v>
      </c>
      <c r="H58" s="85" t="s">
        <v>57</v>
      </c>
      <c r="I58" s="80" t="s">
        <v>49</v>
      </c>
      <c r="J58" s="80" t="s">
        <v>277</v>
      </c>
      <c r="K58" s="62" t="s">
        <v>278</v>
      </c>
      <c r="L58" s="63">
        <v>35154277</v>
      </c>
      <c r="M58" s="85"/>
      <c r="N58" s="85"/>
      <c r="O58" s="80"/>
      <c r="P58" s="80"/>
      <c r="Q58" s="82"/>
      <c r="R58" s="82"/>
    </row>
    <row r="59" spans="1:18" s="41" customFormat="1" ht="32.1">
      <c r="A59" s="18" t="s">
        <v>279</v>
      </c>
      <c r="B59" s="18" t="s">
        <v>43</v>
      </c>
      <c r="C59" s="18" t="s">
        <v>280</v>
      </c>
      <c r="D59" s="18" t="s">
        <v>281</v>
      </c>
      <c r="E59" s="80" t="s">
        <v>46</v>
      </c>
      <c r="F59" s="80" t="s">
        <v>69</v>
      </c>
      <c r="G59" s="85" t="s">
        <v>219</v>
      </c>
      <c r="H59" s="85" t="s">
        <v>49</v>
      </c>
      <c r="I59" s="80" t="s">
        <v>49</v>
      </c>
      <c r="J59" s="80">
        <v>127939913</v>
      </c>
      <c r="K59" s="62" t="s">
        <v>282</v>
      </c>
      <c r="L59" s="63" t="s">
        <v>49</v>
      </c>
      <c r="M59" s="85"/>
      <c r="N59" s="85"/>
      <c r="O59" s="80"/>
      <c r="P59" s="80"/>
      <c r="Q59" s="82"/>
      <c r="R59" s="82"/>
    </row>
    <row r="60" spans="1:18" s="41" customFormat="1">
      <c r="A60" s="18" t="s">
        <v>283</v>
      </c>
      <c r="B60" s="18" t="s">
        <v>284</v>
      </c>
      <c r="C60" s="18" t="s">
        <v>285</v>
      </c>
      <c r="D60" s="18" t="s">
        <v>286</v>
      </c>
      <c r="E60" s="80" t="s">
        <v>46</v>
      </c>
      <c r="F60" s="80" t="s">
        <v>64</v>
      </c>
      <c r="G60" s="85" t="s">
        <v>49</v>
      </c>
      <c r="H60" s="85" t="s">
        <v>49</v>
      </c>
      <c r="I60" s="80" t="s">
        <v>49</v>
      </c>
      <c r="J60" s="80">
        <v>127938816</v>
      </c>
      <c r="K60" s="62" t="s">
        <v>287</v>
      </c>
      <c r="L60" s="63">
        <v>33486620</v>
      </c>
      <c r="M60" s="85"/>
      <c r="N60" s="85"/>
      <c r="O60" s="75"/>
      <c r="P60" s="76"/>
      <c r="Q60" s="82"/>
      <c r="R60" s="82"/>
    </row>
    <row r="61" spans="1:18" s="41" customFormat="1" ht="32.1">
      <c r="A61" s="18" t="s">
        <v>288</v>
      </c>
      <c r="B61" s="18" t="s">
        <v>73</v>
      </c>
      <c r="C61" s="18" t="s">
        <v>289</v>
      </c>
      <c r="D61" s="18" t="s">
        <v>290</v>
      </c>
      <c r="E61" s="80" t="s">
        <v>46</v>
      </c>
      <c r="F61" s="80" t="s">
        <v>64</v>
      </c>
      <c r="G61" s="85" t="s">
        <v>49</v>
      </c>
      <c r="H61" s="85" t="s">
        <v>206</v>
      </c>
      <c r="I61" s="80" t="s">
        <v>291</v>
      </c>
      <c r="J61" s="80">
        <v>127921869</v>
      </c>
      <c r="K61" s="62" t="s">
        <v>287</v>
      </c>
      <c r="L61" s="63">
        <v>33486620</v>
      </c>
      <c r="M61" s="85"/>
      <c r="N61" s="85"/>
      <c r="O61" s="80"/>
      <c r="P61" s="76"/>
      <c r="Q61" s="82"/>
      <c r="R61" s="82"/>
    </row>
    <row r="62" spans="1:18" s="41" customFormat="1" ht="32.1">
      <c r="A62" s="18" t="s">
        <v>292</v>
      </c>
      <c r="B62" s="18" t="s">
        <v>97</v>
      </c>
      <c r="C62" s="80" t="s">
        <v>293</v>
      </c>
      <c r="D62" s="80" t="s">
        <v>294</v>
      </c>
      <c r="E62" s="80" t="s">
        <v>46</v>
      </c>
      <c r="F62" s="80" t="s">
        <v>69</v>
      </c>
      <c r="G62" s="85" t="s">
        <v>70</v>
      </c>
      <c r="H62" s="85" t="s">
        <v>206</v>
      </c>
      <c r="I62" s="80" t="s">
        <v>295</v>
      </c>
      <c r="J62" s="80">
        <v>127920742</v>
      </c>
      <c r="K62" s="62" t="s">
        <v>296</v>
      </c>
      <c r="L62" s="63">
        <v>30543658</v>
      </c>
      <c r="M62" s="85"/>
      <c r="N62" s="85"/>
      <c r="O62" s="80"/>
      <c r="P62" s="76"/>
      <c r="Q62" s="82"/>
      <c r="R62" s="82"/>
    </row>
    <row r="63" spans="1:18" s="41" customFormat="1" ht="45.75">
      <c r="A63" s="18" t="s">
        <v>297</v>
      </c>
      <c r="B63" s="18" t="s">
        <v>49</v>
      </c>
      <c r="C63" s="18" t="s">
        <v>298</v>
      </c>
      <c r="D63" s="18" t="s">
        <v>298</v>
      </c>
      <c r="E63" s="18" t="s">
        <v>49</v>
      </c>
      <c r="F63" s="18" t="s">
        <v>298</v>
      </c>
      <c r="G63" s="18" t="s">
        <v>298</v>
      </c>
      <c r="H63" s="18" t="s">
        <v>49</v>
      </c>
      <c r="I63" s="18" t="s">
        <v>298</v>
      </c>
      <c r="J63" s="18" t="s">
        <v>298</v>
      </c>
      <c r="K63" s="62" t="s">
        <v>287</v>
      </c>
      <c r="L63" s="63">
        <v>33486620</v>
      </c>
      <c r="M63" s="85" t="s">
        <v>299</v>
      </c>
      <c r="N63" s="85" t="s">
        <v>300</v>
      </c>
      <c r="O63" s="85" t="s">
        <v>301</v>
      </c>
      <c r="P63" s="76"/>
      <c r="Q63" s="82"/>
      <c r="R63" s="82"/>
    </row>
    <row r="64" spans="1:18" s="41" customFormat="1" ht="48">
      <c r="A64" s="18" t="s">
        <v>302</v>
      </c>
      <c r="B64" s="18" t="s">
        <v>81</v>
      </c>
      <c r="C64" s="80" t="s">
        <v>303</v>
      </c>
      <c r="D64" s="80" t="s">
        <v>304</v>
      </c>
      <c r="E64" s="80" t="s">
        <v>46</v>
      </c>
      <c r="F64" s="80" t="s">
        <v>69</v>
      </c>
      <c r="G64" s="85" t="s">
        <v>70</v>
      </c>
      <c r="H64" s="85" t="s">
        <v>206</v>
      </c>
      <c r="I64" s="80" t="s">
        <v>305</v>
      </c>
      <c r="J64" s="62">
        <v>127921564</v>
      </c>
      <c r="K64" s="62" t="s">
        <v>306</v>
      </c>
      <c r="L64" s="62" t="s">
        <v>49</v>
      </c>
      <c r="M64" s="45"/>
      <c r="N64" s="85" t="s">
        <v>307</v>
      </c>
      <c r="O64" s="80"/>
      <c r="P64" s="80"/>
      <c r="Q64" s="82"/>
      <c r="R64" s="82"/>
    </row>
    <row r="65" spans="1:16" s="41" customFormat="1" ht="32.1">
      <c r="A65" s="18" t="s">
        <v>308</v>
      </c>
      <c r="B65" s="18" t="s">
        <v>81</v>
      </c>
      <c r="C65" s="80" t="s">
        <v>309</v>
      </c>
      <c r="D65" s="80" t="s">
        <v>310</v>
      </c>
      <c r="E65" s="80" t="s">
        <v>46</v>
      </c>
      <c r="F65" s="80" t="s">
        <v>69</v>
      </c>
      <c r="G65" s="85" t="s">
        <v>70</v>
      </c>
      <c r="H65" s="85" t="s">
        <v>49</v>
      </c>
      <c r="I65" s="80" t="s">
        <v>49</v>
      </c>
      <c r="J65" s="62">
        <v>127921595</v>
      </c>
      <c r="K65" s="62" t="s">
        <v>306</v>
      </c>
      <c r="L65" s="62" t="s">
        <v>49</v>
      </c>
      <c r="M65" s="85"/>
      <c r="N65" s="85"/>
      <c r="O65" s="80"/>
      <c r="P65" s="80"/>
    </row>
    <row r="66" spans="1:16" s="41" customFormat="1" ht="63.95">
      <c r="A66" s="18" t="s">
        <v>311</v>
      </c>
      <c r="B66" s="18" t="s">
        <v>284</v>
      </c>
      <c r="C66" s="18" t="s">
        <v>312</v>
      </c>
      <c r="D66" s="18" t="s">
        <v>313</v>
      </c>
      <c r="E66" s="18" t="s">
        <v>46</v>
      </c>
      <c r="F66" s="18" t="s">
        <v>314</v>
      </c>
      <c r="G66" s="85" t="s">
        <v>315</v>
      </c>
      <c r="H66" s="18" t="s">
        <v>205</v>
      </c>
      <c r="I66" s="80" t="s">
        <v>49</v>
      </c>
      <c r="J66" s="62">
        <v>127938787</v>
      </c>
      <c r="K66" s="62" t="s">
        <v>316</v>
      </c>
      <c r="L66" s="18">
        <v>35216386</v>
      </c>
      <c r="M66" s="45"/>
      <c r="N66" s="85" t="s">
        <v>317</v>
      </c>
      <c r="O66" s="44"/>
      <c r="P66" s="80"/>
    </row>
    <row r="67" spans="1:16" s="41" customFormat="1" ht="32.1">
      <c r="A67" s="18" t="s">
        <v>318</v>
      </c>
      <c r="B67" s="18" t="s">
        <v>319</v>
      </c>
      <c r="C67" s="80" t="s">
        <v>320</v>
      </c>
      <c r="D67" s="80" t="s">
        <v>126</v>
      </c>
      <c r="E67" s="80" t="s">
        <v>146</v>
      </c>
      <c r="F67" s="77" t="s">
        <v>321</v>
      </c>
      <c r="G67" s="77" t="s">
        <v>49</v>
      </c>
      <c r="H67" s="85" t="s">
        <v>49</v>
      </c>
      <c r="I67" s="18" t="s">
        <v>49</v>
      </c>
      <c r="J67" s="18">
        <v>127928702</v>
      </c>
      <c r="K67" s="18" t="s">
        <v>322</v>
      </c>
      <c r="L67" s="18">
        <v>35457110</v>
      </c>
      <c r="M67" s="45"/>
      <c r="N67" s="85" t="s">
        <v>323</v>
      </c>
      <c r="O67" s="44"/>
      <c r="P67" s="80"/>
    </row>
    <row r="68" spans="1:16" s="41" customFormat="1" ht="32.1">
      <c r="A68" s="18" t="s">
        <v>324</v>
      </c>
      <c r="B68" s="18" t="s">
        <v>73</v>
      </c>
      <c r="C68" s="18" t="s">
        <v>325</v>
      </c>
      <c r="D68" s="18" t="s">
        <v>326</v>
      </c>
      <c r="E68" s="18" t="s">
        <v>46</v>
      </c>
      <c r="F68" s="18" t="s">
        <v>69</v>
      </c>
      <c r="G68" s="18" t="s">
        <v>70</v>
      </c>
      <c r="H68" s="18" t="s">
        <v>206</v>
      </c>
      <c r="I68" s="18" t="s">
        <v>220</v>
      </c>
      <c r="J68" s="18">
        <v>127921956</v>
      </c>
      <c r="K68" s="18" t="s">
        <v>322</v>
      </c>
      <c r="L68" s="18">
        <v>35457110</v>
      </c>
      <c r="M68" s="45"/>
      <c r="N68" s="85" t="s">
        <v>117</v>
      </c>
      <c r="O68" s="44"/>
      <c r="P68" s="80"/>
    </row>
    <row r="69" spans="1:16" s="41" customFormat="1" ht="32.1">
      <c r="A69" s="18" t="s">
        <v>327</v>
      </c>
      <c r="B69" s="18" t="s">
        <v>73</v>
      </c>
      <c r="C69" s="18" t="s">
        <v>328</v>
      </c>
      <c r="D69" s="18" t="s">
        <v>329</v>
      </c>
      <c r="E69" s="18" t="s">
        <v>46</v>
      </c>
      <c r="F69" s="18" t="s">
        <v>69</v>
      </c>
      <c r="G69" s="18" t="s">
        <v>70</v>
      </c>
      <c r="H69" s="18" t="s">
        <v>206</v>
      </c>
      <c r="I69" s="18" t="s">
        <v>49</v>
      </c>
      <c r="J69" s="18">
        <v>127921953</v>
      </c>
      <c r="K69" s="18" t="s">
        <v>322</v>
      </c>
      <c r="L69" s="18">
        <v>35457110</v>
      </c>
      <c r="M69" s="45"/>
      <c r="N69" s="45"/>
      <c r="O69" s="44"/>
      <c r="P69" s="80"/>
    </row>
    <row r="70" spans="1:16" s="41" customFormat="1" ht="32.1">
      <c r="A70" s="18" t="s">
        <v>330</v>
      </c>
      <c r="B70" s="18" t="s">
        <v>86</v>
      </c>
      <c r="C70" s="18" t="s">
        <v>331</v>
      </c>
      <c r="D70" s="18" t="s">
        <v>332</v>
      </c>
      <c r="E70" s="18" t="s">
        <v>46</v>
      </c>
      <c r="F70" s="18" t="s">
        <v>69</v>
      </c>
      <c r="G70" s="18" t="s">
        <v>70</v>
      </c>
      <c r="H70" s="18" t="s">
        <v>206</v>
      </c>
      <c r="I70" s="18" t="s">
        <v>333</v>
      </c>
      <c r="J70" s="18">
        <v>127957551</v>
      </c>
      <c r="K70" s="18" t="s">
        <v>322</v>
      </c>
      <c r="L70" s="18">
        <v>35457110</v>
      </c>
      <c r="M70" s="45"/>
      <c r="N70" s="45"/>
      <c r="O70" s="44"/>
      <c r="P70" s="80"/>
    </row>
    <row r="71" spans="1:16" s="41" customFormat="1" ht="32.1">
      <c r="A71" s="18" t="s">
        <v>334</v>
      </c>
      <c r="B71" s="18" t="s">
        <v>73</v>
      </c>
      <c r="C71" s="18" t="s">
        <v>335</v>
      </c>
      <c r="D71" s="18" t="s">
        <v>336</v>
      </c>
      <c r="E71" s="18" t="s">
        <v>46</v>
      </c>
      <c r="F71" s="18" t="s">
        <v>69</v>
      </c>
      <c r="G71" s="18" t="s">
        <v>70</v>
      </c>
      <c r="H71" s="18" t="s">
        <v>337</v>
      </c>
      <c r="I71" s="18" t="s">
        <v>338</v>
      </c>
      <c r="J71" s="18">
        <v>127921896</v>
      </c>
      <c r="K71" s="18" t="s">
        <v>339</v>
      </c>
      <c r="L71" s="18">
        <v>34457359</v>
      </c>
      <c r="M71" s="45"/>
      <c r="N71" s="45"/>
      <c r="O71" s="44"/>
      <c r="P71" s="80"/>
    </row>
    <row r="72" spans="1:16" s="41" customFormat="1" ht="48">
      <c r="A72" s="18" t="s">
        <v>340</v>
      </c>
      <c r="B72" s="18" t="s">
        <v>341</v>
      </c>
      <c r="C72" s="18" t="s">
        <v>342</v>
      </c>
      <c r="D72" s="18" t="s">
        <v>126</v>
      </c>
      <c r="E72" s="18" t="s">
        <v>46</v>
      </c>
      <c r="F72" s="85" t="s">
        <v>343</v>
      </c>
      <c r="G72" s="18" t="s">
        <v>56</v>
      </c>
      <c r="H72" s="18" t="s">
        <v>94</v>
      </c>
      <c r="I72" s="18" t="s">
        <v>49</v>
      </c>
      <c r="J72" s="18">
        <v>127921858</v>
      </c>
      <c r="K72" s="18" t="s">
        <v>339</v>
      </c>
      <c r="L72" s="18">
        <v>34457359</v>
      </c>
      <c r="M72" s="45"/>
      <c r="N72" s="45"/>
      <c r="O72" s="44"/>
      <c r="P72" s="80"/>
    </row>
    <row r="73" spans="1:16" s="41" customFormat="1">
      <c r="A73" s="18" t="s">
        <v>344</v>
      </c>
      <c r="B73" s="18" t="s">
        <v>81</v>
      </c>
      <c r="C73" s="18" t="s">
        <v>345</v>
      </c>
      <c r="D73" s="18" t="s">
        <v>346</v>
      </c>
      <c r="E73" s="18" t="s">
        <v>46</v>
      </c>
      <c r="F73" s="18" t="s">
        <v>64</v>
      </c>
      <c r="G73" s="18" t="s">
        <v>49</v>
      </c>
      <c r="H73" s="18" t="s">
        <v>49</v>
      </c>
      <c r="I73" s="18" t="s">
        <v>49</v>
      </c>
      <c r="J73" s="18">
        <v>127921609</v>
      </c>
      <c r="K73" s="18" t="s">
        <v>322</v>
      </c>
      <c r="L73" s="18">
        <v>34457359</v>
      </c>
      <c r="M73" s="45"/>
      <c r="N73" s="45"/>
      <c r="O73" s="44"/>
      <c r="P73" s="80"/>
    </row>
    <row r="74" spans="1:16" s="41" customFormat="1" ht="32.1">
      <c r="A74" s="18" t="s">
        <v>347</v>
      </c>
      <c r="B74" s="18" t="s">
        <v>348</v>
      </c>
      <c r="C74" s="18" t="s">
        <v>349</v>
      </c>
      <c r="D74" s="18" t="s">
        <v>350</v>
      </c>
      <c r="E74" s="18" t="s">
        <v>46</v>
      </c>
      <c r="F74" s="18" t="s">
        <v>69</v>
      </c>
      <c r="G74" s="18" t="s">
        <v>70</v>
      </c>
      <c r="H74" s="18" t="s">
        <v>49</v>
      </c>
      <c r="I74" s="18" t="s">
        <v>49</v>
      </c>
      <c r="J74" s="18">
        <v>127949847</v>
      </c>
      <c r="K74" s="18" t="s">
        <v>322</v>
      </c>
      <c r="L74" s="18">
        <v>34457359</v>
      </c>
      <c r="M74" s="45"/>
      <c r="N74" s="45"/>
      <c r="O74" s="44"/>
      <c r="P74" s="80"/>
    </row>
    <row r="75" spans="1:16" s="41" customFormat="1" ht="80.099999999999994">
      <c r="A75" s="18" t="s">
        <v>351</v>
      </c>
      <c r="B75" s="18" t="s">
        <v>352</v>
      </c>
      <c r="C75" s="18" t="s">
        <v>353</v>
      </c>
      <c r="D75" s="18" t="s">
        <v>126</v>
      </c>
      <c r="E75" s="18" t="s">
        <v>46</v>
      </c>
      <c r="F75" s="85" t="s">
        <v>354</v>
      </c>
      <c r="G75" s="18" t="s">
        <v>355</v>
      </c>
      <c r="H75" s="18" t="s">
        <v>49</v>
      </c>
      <c r="I75" s="18" t="s">
        <v>49</v>
      </c>
      <c r="J75" s="18">
        <v>127929014</v>
      </c>
      <c r="K75" s="18" t="s">
        <v>322</v>
      </c>
      <c r="L75" s="18">
        <v>34457359</v>
      </c>
      <c r="M75" s="45"/>
      <c r="N75" s="85" t="s">
        <v>356</v>
      </c>
      <c r="O75" s="44"/>
      <c r="P75" s="80"/>
    </row>
    <row r="76" spans="1:16" s="41" customFormat="1" ht="32.1">
      <c r="A76" s="18" t="s">
        <v>357</v>
      </c>
      <c r="B76" s="18" t="s">
        <v>86</v>
      </c>
      <c r="C76" s="18" t="s">
        <v>358</v>
      </c>
      <c r="D76" s="18" t="s">
        <v>359</v>
      </c>
      <c r="E76" s="18" t="s">
        <v>360</v>
      </c>
      <c r="F76" s="18" t="s">
        <v>64</v>
      </c>
      <c r="G76" s="18" t="s">
        <v>49</v>
      </c>
      <c r="H76" s="18" t="s">
        <v>140</v>
      </c>
      <c r="I76" s="18" t="s">
        <v>361</v>
      </c>
      <c r="J76" s="18" t="s">
        <v>362</v>
      </c>
      <c r="K76" s="18" t="s">
        <v>363</v>
      </c>
      <c r="L76" s="18">
        <v>36861499</v>
      </c>
      <c r="M76" s="79"/>
      <c r="N76" s="79"/>
      <c r="O76" s="44"/>
      <c r="P76" s="80"/>
    </row>
    <row r="77" spans="1:16" s="41" customFormat="1" ht="32.1">
      <c r="A77" s="18" t="s">
        <v>364</v>
      </c>
      <c r="B77" s="18" t="s">
        <v>86</v>
      </c>
      <c r="C77" s="18" t="s">
        <v>365</v>
      </c>
      <c r="D77" s="18" t="s">
        <v>366</v>
      </c>
      <c r="E77" s="18" t="s">
        <v>360</v>
      </c>
      <c r="F77" s="18" t="s">
        <v>69</v>
      </c>
      <c r="G77" s="18" t="s">
        <v>70</v>
      </c>
      <c r="H77" s="18" t="s">
        <v>206</v>
      </c>
      <c r="I77" s="18" t="s">
        <v>367</v>
      </c>
      <c r="J77" s="18" t="s">
        <v>368</v>
      </c>
      <c r="K77" s="18" t="s">
        <v>369</v>
      </c>
      <c r="L77" s="18">
        <v>31489614</v>
      </c>
      <c r="M77" s="79"/>
      <c r="N77" s="79"/>
      <c r="O77" s="44"/>
      <c r="P77" s="80"/>
    </row>
    <row r="78" spans="1:16" s="41" customFormat="1" ht="32.1">
      <c r="A78" s="18" t="s">
        <v>370</v>
      </c>
      <c r="B78" s="18" t="s">
        <v>81</v>
      </c>
      <c r="C78" s="18" t="s">
        <v>371</v>
      </c>
      <c r="D78" s="18" t="s">
        <v>372</v>
      </c>
      <c r="E78" s="18" t="s">
        <v>108</v>
      </c>
      <c r="F78" s="18" t="s">
        <v>135</v>
      </c>
      <c r="G78" s="18" t="s">
        <v>49</v>
      </c>
      <c r="H78" s="18" t="s">
        <v>49</v>
      </c>
      <c r="I78" s="18" t="s">
        <v>49</v>
      </c>
      <c r="J78" s="18" t="s">
        <v>373</v>
      </c>
      <c r="K78" s="18" t="s">
        <v>374</v>
      </c>
      <c r="L78" s="18">
        <v>31741823</v>
      </c>
      <c r="M78" s="78"/>
      <c r="N78" s="79"/>
      <c r="O78" s="44"/>
      <c r="P78" s="80"/>
    </row>
    <row r="79" spans="1:16" s="41" customFormat="1">
      <c r="A79" s="18" t="s">
        <v>375</v>
      </c>
      <c r="B79" s="18" t="s">
        <v>106</v>
      </c>
      <c r="C79" s="18" t="s">
        <v>376</v>
      </c>
      <c r="D79" s="18" t="s">
        <v>126</v>
      </c>
      <c r="E79" s="18" t="s">
        <v>360</v>
      </c>
      <c r="F79" s="18" t="s">
        <v>377</v>
      </c>
      <c r="G79" s="18" t="s">
        <v>49</v>
      </c>
      <c r="H79" s="18" t="s">
        <v>49</v>
      </c>
      <c r="I79" s="18" t="s">
        <v>49</v>
      </c>
      <c r="J79" s="18" t="s">
        <v>378</v>
      </c>
      <c r="K79" s="18" t="s">
        <v>374</v>
      </c>
      <c r="L79" s="18">
        <v>31741823</v>
      </c>
      <c r="M79" s="78"/>
      <c r="N79" s="79" t="s">
        <v>379</v>
      </c>
      <c r="O79" s="44"/>
      <c r="P79" s="80"/>
    </row>
    <row r="80" spans="1:16" s="41" customFormat="1" ht="30.75">
      <c r="A80" s="18" t="s">
        <v>380</v>
      </c>
      <c r="B80" s="18" t="s">
        <v>43</v>
      </c>
      <c r="C80" s="18" t="s">
        <v>381</v>
      </c>
      <c r="D80" s="18" t="s">
        <v>382</v>
      </c>
      <c r="E80" s="18" t="s">
        <v>360</v>
      </c>
      <c r="F80" s="18" t="s">
        <v>64</v>
      </c>
      <c r="G80" s="18" t="s">
        <v>49</v>
      </c>
      <c r="H80" s="18" t="s">
        <v>49</v>
      </c>
      <c r="I80" s="18" t="s">
        <v>49</v>
      </c>
      <c r="J80" s="18" t="s">
        <v>383</v>
      </c>
      <c r="K80" s="18" t="s">
        <v>384</v>
      </c>
      <c r="L80" s="18">
        <v>27848944</v>
      </c>
      <c r="M80" s="79"/>
      <c r="N80" s="85" t="s">
        <v>385</v>
      </c>
      <c r="O80" s="44"/>
      <c r="P80" s="80"/>
    </row>
    <row r="81" spans="1:18" s="41" customFormat="1" ht="32.1">
      <c r="A81" s="18" t="s">
        <v>386</v>
      </c>
      <c r="B81" s="18" t="s">
        <v>387</v>
      </c>
      <c r="C81" s="18" t="s">
        <v>388</v>
      </c>
      <c r="D81" s="18" t="s">
        <v>389</v>
      </c>
      <c r="E81" s="18" t="s">
        <v>360</v>
      </c>
      <c r="F81" s="18" t="s">
        <v>69</v>
      </c>
      <c r="G81" s="18" t="s">
        <v>159</v>
      </c>
      <c r="H81" s="18" t="s">
        <v>49</v>
      </c>
      <c r="I81" s="18" t="s">
        <v>49</v>
      </c>
      <c r="J81" s="18" t="s">
        <v>390</v>
      </c>
      <c r="K81" s="18" t="s">
        <v>384</v>
      </c>
      <c r="L81" s="18">
        <v>27848944</v>
      </c>
      <c r="M81" s="79"/>
      <c r="N81" s="79"/>
      <c r="O81" s="44"/>
      <c r="P81" s="80"/>
      <c r="Q81" s="82"/>
      <c r="R81" s="82"/>
    </row>
    <row r="82" spans="1:18" s="41" customFormat="1" ht="30.75">
      <c r="A82" s="18" t="s">
        <v>391</v>
      </c>
      <c r="B82" s="18" t="s">
        <v>392</v>
      </c>
      <c r="C82" s="18" t="s">
        <v>393</v>
      </c>
      <c r="D82" s="18" t="s">
        <v>126</v>
      </c>
      <c r="E82" s="18" t="s">
        <v>360</v>
      </c>
      <c r="F82" s="18" t="s">
        <v>377</v>
      </c>
      <c r="G82" s="18" t="s">
        <v>49</v>
      </c>
      <c r="H82" s="18" t="s">
        <v>94</v>
      </c>
      <c r="I82" s="18" t="s">
        <v>394</v>
      </c>
      <c r="J82" s="18" t="s">
        <v>395</v>
      </c>
      <c r="K82" s="18" t="s">
        <v>396</v>
      </c>
      <c r="L82" s="18" t="s">
        <v>49</v>
      </c>
      <c r="M82" s="45"/>
      <c r="N82" s="79" t="s">
        <v>379</v>
      </c>
      <c r="O82" s="44"/>
      <c r="P82" s="80"/>
      <c r="Q82" s="82"/>
      <c r="R82" s="82"/>
    </row>
    <row r="83" spans="1:18" s="41" customFormat="1">
      <c r="A83" s="18" t="s">
        <v>397</v>
      </c>
      <c r="B83" s="18" t="s">
        <v>81</v>
      </c>
      <c r="C83" s="18" t="s">
        <v>398</v>
      </c>
      <c r="D83" s="18" t="s">
        <v>399</v>
      </c>
      <c r="E83" s="18" t="s">
        <v>360</v>
      </c>
      <c r="F83" s="18" t="s">
        <v>64</v>
      </c>
      <c r="G83" s="18" t="s">
        <v>49</v>
      </c>
      <c r="H83" s="18" t="s">
        <v>140</v>
      </c>
      <c r="I83" s="18" t="s">
        <v>400</v>
      </c>
      <c r="J83" s="18" t="s">
        <v>401</v>
      </c>
      <c r="K83" s="18" t="s">
        <v>402</v>
      </c>
      <c r="L83" s="18" t="s">
        <v>49</v>
      </c>
      <c r="M83" s="45"/>
      <c r="N83" s="45"/>
      <c r="O83" s="44"/>
      <c r="P83" s="80"/>
      <c r="Q83" s="82"/>
      <c r="R83" s="82"/>
    </row>
    <row r="84" spans="1:18" s="41" customFormat="1" ht="32.1">
      <c r="A84" s="18" t="s">
        <v>403</v>
      </c>
      <c r="B84" s="18" t="s">
        <v>387</v>
      </c>
      <c r="C84" s="18" t="s">
        <v>404</v>
      </c>
      <c r="D84" s="18" t="s">
        <v>405</v>
      </c>
      <c r="E84" s="18" t="s">
        <v>360</v>
      </c>
      <c r="F84" s="18" t="s">
        <v>69</v>
      </c>
      <c r="G84" s="18" t="s">
        <v>70</v>
      </c>
      <c r="H84" s="18" t="s">
        <v>49</v>
      </c>
      <c r="I84" s="18" t="s">
        <v>49</v>
      </c>
      <c r="J84" s="18" t="s">
        <v>406</v>
      </c>
      <c r="K84" s="18" t="s">
        <v>402</v>
      </c>
      <c r="L84" s="18" t="s">
        <v>49</v>
      </c>
      <c r="M84" s="45"/>
      <c r="N84" s="45"/>
      <c r="O84" s="44"/>
      <c r="P84" s="80"/>
      <c r="Q84" s="82"/>
      <c r="R84" s="82"/>
    </row>
    <row r="85" spans="1:18" s="41" customFormat="1">
      <c r="A85" s="18" t="s">
        <v>407</v>
      </c>
      <c r="B85" s="18" t="s">
        <v>194</v>
      </c>
      <c r="C85" s="18" t="s">
        <v>408</v>
      </c>
      <c r="D85" s="18" t="s">
        <v>126</v>
      </c>
      <c r="E85" s="18" t="s">
        <v>360</v>
      </c>
      <c r="F85" s="18" t="s">
        <v>377</v>
      </c>
      <c r="G85" s="18" t="s">
        <v>49</v>
      </c>
      <c r="H85" s="18" t="s">
        <v>49</v>
      </c>
      <c r="I85" s="18" t="s">
        <v>49</v>
      </c>
      <c r="J85" s="18" t="s">
        <v>409</v>
      </c>
      <c r="K85" s="18" t="s">
        <v>410</v>
      </c>
      <c r="L85" s="18">
        <v>28559085</v>
      </c>
      <c r="M85" s="45"/>
      <c r="N85" s="79" t="s">
        <v>379</v>
      </c>
      <c r="O85" s="44"/>
      <c r="P85" s="80"/>
      <c r="Q85" s="82"/>
      <c r="R85" s="82"/>
    </row>
    <row r="86" spans="1:18" s="41" customFormat="1" ht="30.75">
      <c r="A86" s="18" t="s">
        <v>411</v>
      </c>
      <c r="B86" s="18" t="s">
        <v>61</v>
      </c>
      <c r="C86" s="18" t="s">
        <v>412</v>
      </c>
      <c r="D86" s="18" t="s">
        <v>413</v>
      </c>
      <c r="E86" s="18" t="s">
        <v>46</v>
      </c>
      <c r="F86" s="18" t="s">
        <v>69</v>
      </c>
      <c r="G86" s="18" t="s">
        <v>70</v>
      </c>
      <c r="H86" s="18" t="s">
        <v>206</v>
      </c>
      <c r="I86" s="18" t="s">
        <v>414</v>
      </c>
      <c r="J86" s="18" t="s">
        <v>415</v>
      </c>
      <c r="K86" s="18" t="s">
        <v>416</v>
      </c>
      <c r="L86" s="18" t="s">
        <v>49</v>
      </c>
      <c r="M86" s="45"/>
      <c r="N86" s="45"/>
      <c r="O86" s="44"/>
      <c r="P86" s="80"/>
      <c r="Q86" s="82"/>
      <c r="R86" s="82"/>
    </row>
    <row r="87" spans="1:18" s="41" customFormat="1" ht="30.75">
      <c r="A87" s="18" t="s">
        <v>417</v>
      </c>
      <c r="B87" s="18" t="s">
        <v>143</v>
      </c>
      <c r="C87" s="18" t="s">
        <v>418</v>
      </c>
      <c r="D87" s="18" t="s">
        <v>419</v>
      </c>
      <c r="E87" s="18" t="s">
        <v>134</v>
      </c>
      <c r="F87" s="18" t="s">
        <v>135</v>
      </c>
      <c r="G87" s="18" t="s">
        <v>49</v>
      </c>
      <c r="H87" s="18" t="s">
        <v>49</v>
      </c>
      <c r="I87" s="18" t="s">
        <v>49</v>
      </c>
      <c r="J87" s="18" t="s">
        <v>420</v>
      </c>
      <c r="K87" s="18" t="s">
        <v>421</v>
      </c>
      <c r="L87" s="18">
        <v>26075876</v>
      </c>
      <c r="M87" s="90"/>
      <c r="N87" s="45"/>
      <c r="O87" s="44"/>
      <c r="P87" s="80"/>
      <c r="Q87" s="82"/>
      <c r="R87" s="82"/>
    </row>
    <row r="88" spans="1:18" s="41" customFormat="1" ht="30.75">
      <c r="A88" s="18" t="s">
        <v>422</v>
      </c>
      <c r="B88" s="18" t="s">
        <v>97</v>
      </c>
      <c r="C88" s="18" t="s">
        <v>423</v>
      </c>
      <c r="D88" s="18" t="s">
        <v>424</v>
      </c>
      <c r="E88" s="18" t="s">
        <v>46</v>
      </c>
      <c r="F88" s="18" t="s">
        <v>69</v>
      </c>
      <c r="G88" s="18" t="s">
        <v>70</v>
      </c>
      <c r="H88" s="18" t="s">
        <v>94</v>
      </c>
      <c r="I88" s="18" t="s">
        <v>425</v>
      </c>
      <c r="J88" s="18" t="s">
        <v>426</v>
      </c>
      <c r="K88" s="18" t="s">
        <v>421</v>
      </c>
      <c r="L88" s="18">
        <v>26075876</v>
      </c>
      <c r="M88" s="91"/>
      <c r="N88" s="45"/>
      <c r="O88" s="44"/>
      <c r="P88" s="80"/>
      <c r="Q88" s="82"/>
      <c r="R88" s="82"/>
    </row>
    <row r="89" spans="1:18" s="41" customFormat="1" ht="30.75">
      <c r="A89" s="18" t="s">
        <v>427</v>
      </c>
      <c r="B89" s="18" t="s">
        <v>97</v>
      </c>
      <c r="C89" s="18" t="s">
        <v>428</v>
      </c>
      <c r="D89" s="18" t="s">
        <v>429</v>
      </c>
      <c r="E89" s="18" t="s">
        <v>46</v>
      </c>
      <c r="F89" s="18" t="s">
        <v>69</v>
      </c>
      <c r="G89" s="18" t="s">
        <v>70</v>
      </c>
      <c r="H89" s="18" t="s">
        <v>94</v>
      </c>
      <c r="I89" s="18" t="s">
        <v>49</v>
      </c>
      <c r="J89" s="18" t="s">
        <v>430</v>
      </c>
      <c r="K89" s="18" t="s">
        <v>431</v>
      </c>
      <c r="L89" s="18">
        <v>38659533</v>
      </c>
      <c r="M89" s="18"/>
      <c r="N89" s="45"/>
      <c r="O89" s="44"/>
      <c r="P89" s="80"/>
      <c r="Q89" s="82"/>
      <c r="R89" s="82"/>
    </row>
    <row r="90" spans="1:18" s="41" customFormat="1" ht="15">
      <c r="A90" s="18" t="s">
        <v>432</v>
      </c>
      <c r="B90" s="18" t="s">
        <v>73</v>
      </c>
      <c r="C90" s="18" t="s">
        <v>433</v>
      </c>
      <c r="D90" s="18" t="s">
        <v>434</v>
      </c>
      <c r="E90" s="18" t="s">
        <v>134</v>
      </c>
      <c r="F90" s="18" t="s">
        <v>135</v>
      </c>
      <c r="G90" s="18" t="s">
        <v>49</v>
      </c>
      <c r="H90" s="18" t="s">
        <v>57</v>
      </c>
      <c r="I90" s="18" t="s">
        <v>435</v>
      </c>
      <c r="J90" s="18" t="s">
        <v>436</v>
      </c>
      <c r="K90" s="18" t="s">
        <v>431</v>
      </c>
      <c r="L90" s="18">
        <v>38659533</v>
      </c>
      <c r="M90" s="18" t="s">
        <v>437</v>
      </c>
      <c r="N90" s="45"/>
      <c r="O90" s="44"/>
      <c r="P90" s="80"/>
      <c r="Q90" s="82"/>
      <c r="R90" s="82"/>
    </row>
    <row r="91" spans="1:18" s="41" customFormat="1" ht="30.75">
      <c r="A91" s="18" t="s">
        <v>438</v>
      </c>
      <c r="B91" s="18" t="s">
        <v>137</v>
      </c>
      <c r="C91" s="18" t="s">
        <v>439</v>
      </c>
      <c r="D91" s="18" t="s">
        <v>440</v>
      </c>
      <c r="E91" s="18" t="s">
        <v>46</v>
      </c>
      <c r="F91" s="18" t="s">
        <v>69</v>
      </c>
      <c r="G91" s="18" t="s">
        <v>159</v>
      </c>
      <c r="H91" s="18" t="s">
        <v>206</v>
      </c>
      <c r="I91" s="18" t="s">
        <v>441</v>
      </c>
      <c r="J91" s="18" t="s">
        <v>442</v>
      </c>
      <c r="K91" s="18" t="s">
        <v>443</v>
      </c>
      <c r="L91" s="18">
        <v>34849271</v>
      </c>
      <c r="M91" s="18"/>
      <c r="N91" s="45"/>
      <c r="O91" s="44"/>
      <c r="P91" s="80"/>
      <c r="Q91" s="82"/>
      <c r="R91" s="82"/>
    </row>
    <row r="92" spans="1:18" s="41" customFormat="1" ht="15">
      <c r="A92" s="18" t="s">
        <v>444</v>
      </c>
      <c r="B92" s="18" t="s">
        <v>43</v>
      </c>
      <c r="C92" s="18" t="s">
        <v>445</v>
      </c>
      <c r="D92" s="18" t="s">
        <v>446</v>
      </c>
      <c r="E92" s="18" t="s">
        <v>134</v>
      </c>
      <c r="F92" s="18" t="s">
        <v>64</v>
      </c>
      <c r="G92" s="18" t="s">
        <v>49</v>
      </c>
      <c r="H92" s="18" t="s">
        <v>49</v>
      </c>
      <c r="I92" s="18" t="s">
        <v>49</v>
      </c>
      <c r="J92" s="18" t="s">
        <v>447</v>
      </c>
      <c r="K92" s="18" t="s">
        <v>448</v>
      </c>
      <c r="L92" s="93">
        <v>34220062</v>
      </c>
      <c r="M92" s="45"/>
      <c r="N92" s="45"/>
      <c r="O92" s="44"/>
      <c r="P92" s="80"/>
      <c r="Q92" s="82"/>
      <c r="R92" s="82"/>
    </row>
    <row r="93" spans="1:18" s="41" customFormat="1" ht="91.5">
      <c r="A93" s="18" t="s">
        <v>449</v>
      </c>
      <c r="B93" s="18" t="s">
        <v>450</v>
      </c>
      <c r="C93" s="18" t="s">
        <v>451</v>
      </c>
      <c r="D93" s="18" t="s">
        <v>126</v>
      </c>
      <c r="E93" s="18" t="s">
        <v>46</v>
      </c>
      <c r="F93" s="18" t="s">
        <v>452</v>
      </c>
      <c r="G93" s="18" t="s">
        <v>453</v>
      </c>
      <c r="H93" s="18" t="s">
        <v>49</v>
      </c>
      <c r="I93" s="18" t="s">
        <v>49</v>
      </c>
      <c r="J93" s="18" t="s">
        <v>454</v>
      </c>
      <c r="K93" s="18" t="s">
        <v>448</v>
      </c>
      <c r="L93" s="46"/>
      <c r="M93" s="45"/>
      <c r="N93" s="45"/>
      <c r="O93" s="44"/>
      <c r="P93" s="80"/>
      <c r="Q93" s="82"/>
      <c r="R93" s="82"/>
    </row>
    <row r="94" spans="1:18" s="41" customFormat="1" ht="45.75">
      <c r="A94" s="18" t="s">
        <v>455</v>
      </c>
      <c r="B94" s="18" t="s">
        <v>456</v>
      </c>
      <c r="C94" s="18" t="s">
        <v>457</v>
      </c>
      <c r="D94" s="18" t="s">
        <v>126</v>
      </c>
      <c r="E94" s="18" t="s">
        <v>46</v>
      </c>
      <c r="F94" s="18" t="s">
        <v>458</v>
      </c>
      <c r="G94" s="18" t="s">
        <v>56</v>
      </c>
      <c r="H94" s="18" t="s">
        <v>49</v>
      </c>
      <c r="I94" s="18" t="s">
        <v>49</v>
      </c>
      <c r="J94" s="18" t="s">
        <v>459</v>
      </c>
      <c r="K94" s="18" t="s">
        <v>448</v>
      </c>
      <c r="L94" s="46"/>
      <c r="M94" s="45"/>
      <c r="N94" s="45"/>
      <c r="O94" s="44"/>
      <c r="P94" s="80"/>
      <c r="Q94" s="82"/>
      <c r="R94" s="82"/>
    </row>
    <row r="95" spans="1:18" s="41" customFormat="1" ht="30.75">
      <c r="A95" s="18" t="s">
        <v>460</v>
      </c>
      <c r="B95" s="18" t="s">
        <v>43</v>
      </c>
      <c r="C95" s="18" t="s">
        <v>461</v>
      </c>
      <c r="D95" s="18" t="s">
        <v>462</v>
      </c>
      <c r="E95" s="18" t="s">
        <v>46</v>
      </c>
      <c r="F95" s="18" t="s">
        <v>69</v>
      </c>
      <c r="G95" s="18" t="s">
        <v>70</v>
      </c>
      <c r="H95" s="18" t="s">
        <v>49</v>
      </c>
      <c r="I95" s="18" t="s">
        <v>49</v>
      </c>
      <c r="J95" s="18" t="s">
        <v>463</v>
      </c>
      <c r="K95" s="18" t="s">
        <v>464</v>
      </c>
      <c r="L95" s="46"/>
      <c r="M95" s="45"/>
      <c r="N95" s="45"/>
      <c r="O95" s="44"/>
      <c r="P95" s="80"/>
      <c r="Q95" s="82"/>
      <c r="R95" s="82"/>
    </row>
    <row r="96" spans="1:18" s="41" customFormat="1" ht="30.75">
      <c r="A96" s="18" t="s">
        <v>465</v>
      </c>
      <c r="B96" s="18" t="s">
        <v>43</v>
      </c>
      <c r="C96" s="18" t="s">
        <v>381</v>
      </c>
      <c r="D96" s="18" t="s">
        <v>466</v>
      </c>
      <c r="E96" s="18" t="s">
        <v>360</v>
      </c>
      <c r="F96" s="18" t="s">
        <v>64</v>
      </c>
      <c r="G96" s="18" t="s">
        <v>49</v>
      </c>
      <c r="H96" s="18" t="s">
        <v>57</v>
      </c>
      <c r="I96" s="18" t="s">
        <v>467</v>
      </c>
      <c r="J96" s="18" t="s">
        <v>383</v>
      </c>
      <c r="K96" s="18" t="s">
        <v>468</v>
      </c>
      <c r="L96" s="18">
        <v>27848944</v>
      </c>
      <c r="M96" s="101"/>
      <c r="N96" s="101"/>
      <c r="O96" s="100"/>
      <c r="P96" s="102"/>
      <c r="Q96" s="82"/>
      <c r="R96" s="82"/>
    </row>
    <row r="97" spans="1:18" s="41" customFormat="1" ht="45.75">
      <c r="A97" s="18" t="s">
        <v>469</v>
      </c>
      <c r="B97" s="18" t="s">
        <v>106</v>
      </c>
      <c r="C97" s="18" t="s">
        <v>470</v>
      </c>
      <c r="D97" s="18" t="s">
        <v>126</v>
      </c>
      <c r="E97" s="18" t="s">
        <v>46</v>
      </c>
      <c r="F97" s="18" t="s">
        <v>458</v>
      </c>
      <c r="G97" s="18" t="s">
        <v>56</v>
      </c>
      <c r="H97" s="18" t="s">
        <v>140</v>
      </c>
      <c r="I97" s="18" t="s">
        <v>471</v>
      </c>
      <c r="J97" s="18" t="s">
        <v>472</v>
      </c>
      <c r="K97" s="18" t="s">
        <v>468</v>
      </c>
      <c r="L97" s="18">
        <v>27848944</v>
      </c>
      <c r="M97" s="45"/>
      <c r="N97" s="45"/>
      <c r="O97" s="44"/>
      <c r="P97" s="80"/>
      <c r="Q97" s="82"/>
      <c r="R97" s="82"/>
    </row>
    <row r="98" spans="1:18" s="41" customFormat="1" ht="91.5">
      <c r="A98" s="18" t="s">
        <v>473</v>
      </c>
      <c r="B98" s="18" t="s">
        <v>73</v>
      </c>
      <c r="C98" s="18" t="s">
        <v>474</v>
      </c>
      <c r="D98" s="18" t="s">
        <v>475</v>
      </c>
      <c r="E98" s="18" t="s">
        <v>134</v>
      </c>
      <c r="F98" s="18" t="s">
        <v>134</v>
      </c>
      <c r="G98" s="18" t="s">
        <v>49</v>
      </c>
      <c r="H98" s="18" t="s">
        <v>49</v>
      </c>
      <c r="I98" s="18" t="s">
        <v>49</v>
      </c>
      <c r="J98" s="18" t="s">
        <v>476</v>
      </c>
      <c r="K98" s="18" t="s">
        <v>477</v>
      </c>
      <c r="L98" s="18" t="s">
        <v>478</v>
      </c>
      <c r="M98" s="18" t="s">
        <v>479</v>
      </c>
      <c r="N98" s="18"/>
      <c r="O98" s="100"/>
      <c r="P98" s="102"/>
      <c r="Q98" s="82"/>
      <c r="R98" s="82"/>
    </row>
    <row r="99" spans="1:18" s="41" customFormat="1" ht="91.5">
      <c r="A99" s="18" t="s">
        <v>480</v>
      </c>
      <c r="B99" s="18" t="s">
        <v>456</v>
      </c>
      <c r="C99" s="18" t="s">
        <v>481</v>
      </c>
      <c r="D99" s="18" t="s">
        <v>126</v>
      </c>
      <c r="E99" s="18" t="s">
        <v>134</v>
      </c>
      <c r="F99" s="18" t="s">
        <v>482</v>
      </c>
      <c r="G99" s="18" t="s">
        <v>483</v>
      </c>
      <c r="H99" s="18" t="s">
        <v>49</v>
      </c>
      <c r="I99" s="18" t="s">
        <v>49</v>
      </c>
      <c r="J99" s="18" t="s">
        <v>484</v>
      </c>
      <c r="K99" s="18" t="s">
        <v>477</v>
      </c>
      <c r="L99" s="18" t="s">
        <v>478</v>
      </c>
      <c r="M99" s="18"/>
      <c r="N99" s="18"/>
      <c r="O99" s="100"/>
      <c r="P99" s="102"/>
      <c r="Q99" s="82"/>
      <c r="R99" s="82"/>
    </row>
    <row r="100" spans="1:18" s="41" customFormat="1" ht="15">
      <c r="A100" s="43"/>
      <c r="B100" s="43"/>
      <c r="C100" s="44"/>
      <c r="D100" s="44"/>
      <c r="E100" s="44"/>
      <c r="F100" s="44"/>
      <c r="G100" s="45"/>
      <c r="H100" s="44"/>
      <c r="I100" s="44"/>
      <c r="J100" s="44"/>
      <c r="K100" s="47"/>
      <c r="L100" s="46"/>
      <c r="M100" s="45"/>
      <c r="N100" s="45"/>
      <c r="O100" s="44"/>
      <c r="P100" s="80"/>
      <c r="Q100" s="82"/>
      <c r="R100" s="82"/>
    </row>
    <row r="101" spans="1:18" s="41" customFormat="1" ht="15">
      <c r="A101" s="43"/>
      <c r="B101" s="43"/>
      <c r="C101" s="44"/>
      <c r="D101" s="44"/>
      <c r="E101" s="44"/>
      <c r="F101" s="44"/>
      <c r="G101" s="45"/>
      <c r="H101" s="44"/>
      <c r="I101" s="44"/>
      <c r="J101" s="44"/>
      <c r="K101" s="47"/>
      <c r="L101" s="46"/>
      <c r="M101" s="45"/>
      <c r="N101" s="45"/>
      <c r="O101" s="44"/>
      <c r="P101" s="80"/>
      <c r="Q101" s="82"/>
      <c r="R101" s="82"/>
    </row>
    <row r="102" spans="1:18" s="41" customFormat="1" ht="15">
      <c r="A102" s="43"/>
      <c r="B102" s="43"/>
      <c r="C102" s="44"/>
      <c r="D102" s="44"/>
      <c r="E102" s="44"/>
      <c r="F102" s="44"/>
      <c r="G102" s="45"/>
      <c r="H102" s="44"/>
      <c r="I102" s="44"/>
      <c r="J102" s="44"/>
      <c r="K102" s="47"/>
      <c r="L102" s="46"/>
      <c r="M102" s="45"/>
      <c r="N102" s="45"/>
      <c r="O102" s="44"/>
      <c r="P102" s="80"/>
      <c r="Q102" s="82"/>
      <c r="R102" s="82"/>
    </row>
    <row r="103" spans="1:18" s="41" customFormat="1" ht="15">
      <c r="A103" s="43"/>
      <c r="B103" s="43"/>
      <c r="C103" s="44"/>
      <c r="D103" s="44"/>
      <c r="E103" s="44"/>
      <c r="F103" s="44"/>
      <c r="G103" s="45"/>
      <c r="H103" s="44"/>
      <c r="I103" s="44"/>
      <c r="J103" s="44"/>
      <c r="K103" s="47"/>
      <c r="L103" s="46"/>
      <c r="M103" s="45"/>
      <c r="N103" s="45"/>
      <c r="O103" s="44"/>
      <c r="P103" s="80"/>
      <c r="Q103" s="82"/>
      <c r="R103" s="82"/>
    </row>
    <row r="104" spans="1:18" s="41" customFormat="1" ht="15">
      <c r="A104" s="43"/>
      <c r="B104" s="43"/>
      <c r="C104" s="44"/>
      <c r="D104" s="44"/>
      <c r="E104" s="44"/>
      <c r="F104" s="44"/>
      <c r="G104" s="45"/>
      <c r="H104" s="44"/>
      <c r="I104" s="44"/>
      <c r="J104" s="44"/>
      <c r="K104" s="47"/>
      <c r="L104" s="46"/>
      <c r="M104" s="45"/>
      <c r="N104" s="45"/>
      <c r="O104" s="44"/>
      <c r="P104" s="80"/>
      <c r="Q104" s="82"/>
      <c r="R104" s="82"/>
    </row>
    <row r="105" spans="1:18" s="41" customFormat="1" ht="15">
      <c r="A105" s="43"/>
      <c r="B105" s="43"/>
      <c r="C105" s="44"/>
      <c r="D105" s="44"/>
      <c r="E105" s="44"/>
      <c r="F105" s="44"/>
      <c r="G105" s="45"/>
      <c r="H105" s="44"/>
      <c r="I105" s="44"/>
      <c r="J105" s="44"/>
      <c r="K105" s="47"/>
      <c r="L105" s="46"/>
      <c r="M105" s="45"/>
      <c r="N105" s="45"/>
      <c r="O105" s="44"/>
      <c r="P105" s="80"/>
      <c r="Q105" s="82"/>
      <c r="R105" s="82"/>
    </row>
    <row r="106" spans="1:18" s="41" customFormat="1" ht="15">
      <c r="A106" s="43"/>
      <c r="B106" s="43"/>
      <c r="C106" s="44"/>
      <c r="D106" s="44"/>
      <c r="E106" s="44"/>
      <c r="F106" s="44"/>
      <c r="G106" s="45"/>
      <c r="H106" s="44"/>
      <c r="I106" s="44"/>
      <c r="J106" s="44"/>
      <c r="K106" s="47"/>
      <c r="L106" s="46"/>
      <c r="M106" s="45"/>
      <c r="N106" s="45"/>
      <c r="O106" s="44"/>
      <c r="P106" s="80"/>
      <c r="Q106" s="82"/>
      <c r="R106" s="82"/>
    </row>
    <row r="107" spans="1:18" s="41" customFormat="1" ht="15">
      <c r="A107" s="18"/>
      <c r="B107" s="18"/>
      <c r="C107" s="80"/>
      <c r="D107" s="80"/>
      <c r="E107" s="80"/>
      <c r="F107" s="80"/>
      <c r="G107" s="85"/>
      <c r="H107" s="85"/>
      <c r="I107" s="80"/>
      <c r="J107" s="80"/>
      <c r="K107" s="62"/>
      <c r="L107" s="60"/>
      <c r="M107" s="85"/>
      <c r="N107" s="85"/>
      <c r="O107" s="80"/>
      <c r="P107" s="80"/>
      <c r="Q107" s="82"/>
      <c r="R107" s="82"/>
    </row>
    <row r="108" spans="1:18" s="41" customFormat="1" ht="15">
      <c r="A108" s="18"/>
      <c r="B108" s="18"/>
      <c r="C108" s="80"/>
      <c r="D108" s="80"/>
      <c r="E108" s="80"/>
      <c r="F108" s="80"/>
      <c r="G108" s="85"/>
      <c r="H108" s="80"/>
      <c r="I108" s="80"/>
      <c r="J108" s="80"/>
      <c r="K108" s="62"/>
      <c r="L108" s="60"/>
      <c r="M108" s="85"/>
      <c r="N108" s="85"/>
      <c r="O108" s="80"/>
      <c r="P108" s="80"/>
      <c r="Q108" s="82"/>
      <c r="R108" s="82"/>
    </row>
    <row r="109" spans="1:18">
      <c r="A109" s="43"/>
      <c r="B109" s="43"/>
      <c r="C109" s="44"/>
      <c r="D109" s="44"/>
      <c r="E109" s="44"/>
      <c r="F109" s="44"/>
      <c r="G109" s="45"/>
      <c r="H109" s="44"/>
      <c r="I109" s="44"/>
      <c r="J109" s="44"/>
      <c r="K109" s="47"/>
      <c r="L109" s="46"/>
      <c r="M109" s="43"/>
      <c r="N109" s="43"/>
      <c r="O109" s="43"/>
      <c r="P109" s="39"/>
    </row>
    <row r="111" spans="1:18">
      <c r="I111" s="49"/>
    </row>
    <row r="112" spans="1:18">
      <c r="D112" s="48"/>
      <c r="E112" s="48"/>
      <c r="F112" s="34"/>
    </row>
    <row r="113" spans="1:17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</row>
    <row r="115" spans="1:17">
      <c r="E115" s="48"/>
      <c r="F115" s="48"/>
    </row>
    <row r="116" spans="1:17">
      <c r="I116" s="49"/>
    </row>
    <row r="117" spans="1:17">
      <c r="I117" s="49"/>
    </row>
    <row r="118" spans="1:17">
      <c r="I118" s="49"/>
    </row>
    <row r="119" spans="1:17">
      <c r="I119" s="49"/>
    </row>
    <row r="120" spans="1:17">
      <c r="I120" s="49"/>
    </row>
    <row r="121" spans="1:17">
      <c r="I121" s="49"/>
    </row>
    <row r="122" spans="1:17">
      <c r="I122" s="49"/>
    </row>
    <row r="123" spans="1:17">
      <c r="I123" s="49"/>
    </row>
    <row r="124" spans="1:17">
      <c r="I124" s="49"/>
    </row>
    <row r="125" spans="1:17">
      <c r="I125" s="49"/>
    </row>
    <row r="126" spans="1:17">
      <c r="I126" s="49"/>
    </row>
    <row r="127" spans="1:17">
      <c r="I127" s="49"/>
    </row>
    <row r="128" spans="1:17">
      <c r="I128" s="49"/>
    </row>
  </sheetData>
  <mergeCells count="7">
    <mergeCell ref="A7:C7"/>
    <mergeCell ref="A1:C1"/>
    <mergeCell ref="A2:C2"/>
    <mergeCell ref="A3:C3"/>
    <mergeCell ref="A4:C4"/>
    <mergeCell ref="A5:C5"/>
    <mergeCell ref="A6:C6"/>
  </mergeCells>
  <phoneticPr fontId="18" type="noConversion"/>
  <conditionalFormatting sqref="A11">
    <cfRule type="duplicateValues" dxfId="43" priority="11"/>
  </conditionalFormatting>
  <conditionalFormatting sqref="A12:A44">
    <cfRule type="duplicateValues" dxfId="42" priority="5"/>
  </conditionalFormatting>
  <conditionalFormatting sqref="C104:C1048576 C1:C62 C64:C75">
    <cfRule type="duplicateValues" dxfId="41" priority="1"/>
  </conditionalFormatting>
  <conditionalFormatting sqref="K11:M11">
    <cfRule type="duplicateValues" dxfId="40" priority="12"/>
  </conditionalFormatting>
  <conditionalFormatting sqref="N13">
    <cfRule type="duplicateValues" dxfId="39" priority="6"/>
  </conditionalFormatting>
  <conditionalFormatting sqref="R11:R44">
    <cfRule type="duplicateValues" dxfId="38" priority="4"/>
  </conditionalFormatting>
  <hyperlinks>
    <hyperlink ref="L13" r:id="rId1" display="http://www.ncbi.nlm.nih.gov/pubmed/19201763" xr:uid="{0A80A4DA-98B2-4D0B-982C-73CF5900FC04}"/>
    <hyperlink ref="L14" r:id="rId2" display="http://www.ncbi.nlm.nih.gov/pubmed?term=17564970" xr:uid="{573E768A-F581-4CE0-BBA1-D2EE8B3AF28E}"/>
    <hyperlink ref="L16" r:id="rId3" display="http://www.ncbi.nlm.nih.gov/pubmed?term=17564970" xr:uid="{C4971D60-DB60-42C2-9B36-4D02096F6D0D}"/>
    <hyperlink ref="L17" r:id="rId4" display="http://www.ncbi.nlm.nih.gov/pubmed?term=17564970" xr:uid="{7B453609-40B9-426A-BE83-0328434B69BE}"/>
    <hyperlink ref="L18" r:id="rId5" display="http://www.ncbi.nlm.nih.gov/pubmed?term=19177532" xr:uid="{CE781785-80DC-4495-B726-6FEA7E322FCD}"/>
    <hyperlink ref="L19" r:id="rId6" display="http://www.ncbi.nlm.nih.gov/pubmed?term=19177532" xr:uid="{DE48940C-2B61-42D5-AD41-450817486E85}"/>
    <hyperlink ref="L20" r:id="rId7" display="http://www.ncbi.nlm.nih.gov/pubmed/19201763" xr:uid="{CC208E42-7224-439A-946C-486D7481600E}"/>
    <hyperlink ref="L21" r:id="rId8" display="http://www.ncbi.nlm.nih.gov/pubmed?term=21990111" xr:uid="{8AD3131B-5848-4BE1-9AA3-BEDD7558E239}"/>
    <hyperlink ref="L22" r:id="rId9" display="http://www.ncbi.nlm.nih.gov/pubmed?term=19177532" xr:uid="{CFD66421-8CA4-4A35-891D-99B62B14B677}"/>
    <hyperlink ref="L23" r:id="rId10" display="http://www.ncbi.nlm.nih.gov/pubmed?term=19177532" xr:uid="{3C27804E-5072-4AE7-9CC7-DE584C89633C}"/>
    <hyperlink ref="L24" r:id="rId11" display="http://www.ncbi.nlm.nih.gov/pubmed?term=19177532" xr:uid="{25184ADA-BB1D-4DF3-834F-63F807A40096}"/>
    <hyperlink ref="L25" r:id="rId12" display="http://www.ncbi.nlm.nih.gov/pubmed?term=19177532" xr:uid="{4E290C67-EB5B-4818-89BF-AEB9E0285AAC}"/>
    <hyperlink ref="L33" r:id="rId13" display="http://www.ncbi.nlm.nih.gov/pubmed?term=19177532" xr:uid="{21ED0ABC-5747-416D-98DE-B9F5A9F38173}"/>
    <hyperlink ref="L26" r:id="rId14" display="http://www.ncbi.nlm.nih.gov/pubmed?term=19177532" xr:uid="{C84D86F0-8C91-4D5E-BC43-C6B964E5BA7E}"/>
    <hyperlink ref="L28" r:id="rId15" display="http://www.ncbi.nlm.nih.gov/pubmed/19201763" xr:uid="{FABE2BB2-2103-450F-9719-65FC2CA8C247}"/>
    <hyperlink ref="L29" r:id="rId16" display="http://www.ncbi.nlm.nih.gov/pubmed/19201763" xr:uid="{5C021347-2706-4068-BCEE-9D7BA7E9F152}"/>
    <hyperlink ref="L30" r:id="rId17" display="http://www.ncbi.nlm.nih.gov/pubmed/19201763" xr:uid="{7ED411C1-38F7-4772-95A7-195B1B77E518}"/>
    <hyperlink ref="L31" r:id="rId18" display="http://www.ncbi.nlm.nih.gov/pubmed?term=21990111" xr:uid="{1D4E2661-7035-41E4-AC17-D365E10DDF0C}"/>
    <hyperlink ref="L32" r:id="rId19" display="http://www.ncbi.nlm.nih.gov/pubmed?term=18850119" xr:uid="{5A2C14AB-C81D-4C7C-AE85-E4D9B4AF2839}"/>
    <hyperlink ref="L35" r:id="rId20" display="http://www.ncbi.nlm.nih.gov/pubmed?term=19277732" xr:uid="{C784AA71-A06E-4210-92CB-5365532FE054}"/>
    <hyperlink ref="L37" r:id="rId21" display="http://www.ncbi.nlm.nih.gov/pubmed?term=21990111" xr:uid="{A4E542E9-38BB-416A-9F16-9966266A3D9E}"/>
    <hyperlink ref="L38" r:id="rId22" display="http://www.ncbi.nlm.nih.gov/pubmed?term=21990111" xr:uid="{1355376F-A3E0-43C9-A14A-0BC2582D21D2}"/>
    <hyperlink ref="L39" r:id="rId23" display="http://www.ncbi.nlm.nih.gov/pubmed?term=21990111" xr:uid="{D01B5786-2EFB-4332-B486-4EFA2D2591B8}"/>
    <hyperlink ref="L40" r:id="rId24" display="http://www.ncbi.nlm.nih.gov/pubmed?term=21990111" xr:uid="{F240C1DB-B00A-49B9-8E3C-285B80210758}"/>
    <hyperlink ref="L41" r:id="rId25" display="http://www.ncbi.nlm.nih.gov/pubmed?term=21990111" xr:uid="{9F040C2E-4D74-48EE-9E6B-E641F2DE8BBE}"/>
    <hyperlink ref="L42" r:id="rId26" display="http://www.ncbi.nlm.nih.gov/pubmed?term=21990111" xr:uid="{6AEDB5C0-A290-4654-8762-2AA02F7BDE50}"/>
    <hyperlink ref="L43" r:id="rId27" display="http://www.ncbi.nlm.nih.gov/pubmed?term=21990111" xr:uid="{A45AEA3B-FE58-4AFA-B714-9269B34B0DD2}"/>
    <hyperlink ref="L44" r:id="rId28" display="http://www.ncbi.nlm.nih.gov/pubmed?term=21990111" xr:uid="{A368D79A-9EDE-4D31-A6FA-D866562CCD4B}"/>
    <hyperlink ref="L45" r:id="rId29" display="25227500" xr:uid="{6DD08D30-92B8-476B-9436-87A388B7E7BD}"/>
    <hyperlink ref="L46" r:id="rId30" display="25270050" xr:uid="{F9F0B16F-1566-4C27-9B99-0DA915CD483E}"/>
    <hyperlink ref="L48" r:id="rId31" display="25333361" xr:uid="{C2D7EDFF-C98C-4623-B387-F4E68EC8F2EC}"/>
    <hyperlink ref="L49" r:id="rId32" display="25333361" xr:uid="{0DB35796-7006-4B53-BB1A-F0A885BA6695}"/>
    <hyperlink ref="L51" r:id="rId33" display="https://www.ncbi.nlm.nih.gov/pubmed/28586915" xr:uid="{9C3A57EE-3645-456F-BAF7-927D1FB9EAED}"/>
    <hyperlink ref="L15" r:id="rId34" display="http://www.ncbi.nlm.nih.gov/pubmed?term=17564970" xr:uid="{9A5DAC40-75B4-40B2-910F-7A5A18BB10A3}"/>
    <hyperlink ref="L27" r:id="rId35" display="http://www.ncbi.nlm.nih.gov/pubmed?term=19177532" xr:uid="{28756E65-7A2E-4F91-AA95-C4D87E5DE4F6}"/>
    <hyperlink ref="L53" r:id="rId36" display="31105743" xr:uid="{E96B34BD-E363-4C5F-8AF8-685A6118A1E1}"/>
    <hyperlink ref="L54" r:id="rId37" display="6109285" xr:uid="{AEA59F11-215A-49D8-B9EE-262D64F44924}"/>
    <hyperlink ref="L55" r:id="rId38" display="30249282" xr:uid="{0B0360DC-2A09-4DC3-88C3-532A1B93C7CC}"/>
    <hyperlink ref="L12" r:id="rId39" display="http://www.ncbi.nlm.nih.gov/pubmed?term=17564970" xr:uid="{14009F87-5D1C-4615-9350-A5AEEBA0856A}"/>
    <hyperlink ref="L34" r:id="rId40" display="http://www.ncbi.nlm.nih.gov/pubmed/19201763" xr:uid="{8C0CFEDC-2CD5-6A44-A598-718844BF41B3}"/>
    <hyperlink ref="D2" r:id="rId41" display="http://www.ncbi.nlm.nih.gov/gene/256471" xr:uid="{0798439F-8D08-4689-A1C8-68DAC9DDE02A}"/>
    <hyperlink ref="D4" r:id="rId42" xr:uid="{8A0B3B2A-D9EC-464C-81EA-F2348BDF78E5}"/>
    <hyperlink ref="D6" r:id="rId43" xr:uid="{27E7290D-87E8-4584-9A61-1EFCC5C5B40E}"/>
    <hyperlink ref="F5" r:id="rId44" xr:uid="{D76B2FBC-FE45-4E33-B968-FA4D66426798}"/>
    <hyperlink ref="D5" r:id="rId45" xr:uid="{DD6E957F-8879-474C-8677-985F2C99EE03}"/>
    <hyperlink ref="L58" r:id="rId46" display="35154277" xr:uid="{D5D63BF9-3D64-BD40-AE5F-D26F4971AFBD}"/>
    <hyperlink ref="L60" r:id="rId47" display="33486620" xr:uid="{D798EFBC-4F6B-4D2E-96E3-39470551BD39}"/>
    <hyperlink ref="L61" r:id="rId48" display="33486620" xr:uid="{E1BC77E7-2FCC-400B-8B88-960E04500819}"/>
    <hyperlink ref="L62" r:id="rId49" display="30543658" xr:uid="{D4D033DD-6E29-44CD-8888-D9080C9A04DA}"/>
    <hyperlink ref="L63" r:id="rId50" display="33486620" xr:uid="{5D9AE321-9775-433C-86F7-03D677B8190C}"/>
    <hyperlink ref="J91" r:id="rId51" xr:uid="{E1EBF09A-4A1B-4AE7-AF5F-32C4052CBD8E}"/>
  </hyperlinks>
  <pageMargins left="0.7" right="0.7" top="0.75" bottom="0.75" header="0.3" footer="0.3"/>
  <tableParts count="1">
    <tablePart r:id="rId5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CF82B-E33A-477A-AA09-83ECA079CDE8}">
  <dimension ref="A1:R38"/>
  <sheetViews>
    <sheetView workbookViewId="0">
      <selection activeCell="D51" sqref="D51"/>
    </sheetView>
    <sheetView workbookViewId="1">
      <selection activeCell="E4" sqref="E4"/>
    </sheetView>
  </sheetViews>
  <sheetFormatPr defaultColWidth="9" defaultRowHeight="15.95"/>
  <cols>
    <col min="1" max="1" width="14.375" style="25" customWidth="1"/>
    <col min="2" max="2" width="14.5" style="25" bestFit="1" customWidth="1"/>
    <col min="3" max="3" width="18" style="25" bestFit="1" customWidth="1"/>
    <col min="4" max="4" width="15.375" style="25" bestFit="1" customWidth="1"/>
    <col min="5" max="5" width="18" style="25" customWidth="1"/>
    <col min="6" max="6" width="17" style="25" customWidth="1"/>
    <col min="7" max="7" width="15" style="25" customWidth="1"/>
    <col min="8" max="8" width="18.875" style="27" customWidth="1"/>
    <col min="9" max="9" width="10.5" style="25" bestFit="1" customWidth="1"/>
    <col min="10" max="10" width="18.375" style="25" bestFit="1" customWidth="1"/>
    <col min="11" max="11" width="11.875" style="25" bestFit="1" customWidth="1"/>
    <col min="12" max="12" width="11" style="25" customWidth="1"/>
    <col min="13" max="13" width="12.5" style="24" bestFit="1" customWidth="1"/>
    <col min="14" max="14" width="14" style="25" bestFit="1" customWidth="1"/>
    <col min="15" max="15" width="11.5" style="25" bestFit="1" customWidth="1"/>
    <col min="16" max="16384" width="9" style="25"/>
  </cols>
  <sheetData>
    <row r="1" spans="1:18">
      <c r="A1" s="98" t="s">
        <v>0</v>
      </c>
      <c r="B1" s="98"/>
      <c r="C1" s="98"/>
      <c r="D1" s="18" t="s">
        <v>1</v>
      </c>
    </row>
    <row r="2" spans="1:18">
      <c r="A2" s="98" t="s">
        <v>3</v>
      </c>
      <c r="B2" s="98"/>
      <c r="C2" s="98"/>
      <c r="D2" s="19">
        <v>256471</v>
      </c>
    </row>
    <row r="3" spans="1:18" ht="15.75" customHeight="1">
      <c r="A3" s="98" t="s">
        <v>5</v>
      </c>
      <c r="B3" s="98"/>
      <c r="C3" s="98"/>
      <c r="D3" s="18" t="s">
        <v>6</v>
      </c>
    </row>
    <row r="4" spans="1:18" ht="15.75" customHeight="1">
      <c r="A4" s="98" t="s">
        <v>8</v>
      </c>
      <c r="B4" s="98"/>
      <c r="C4" s="98"/>
      <c r="D4" s="19" t="s">
        <v>9</v>
      </c>
    </row>
    <row r="5" spans="1:18">
      <c r="A5" s="97" t="s">
        <v>12</v>
      </c>
      <c r="B5" s="97"/>
      <c r="C5" s="97"/>
      <c r="D5" s="20" t="s">
        <v>13</v>
      </c>
    </row>
    <row r="6" spans="1:18">
      <c r="A6" s="98" t="s">
        <v>18</v>
      </c>
      <c r="B6" s="98"/>
      <c r="C6" s="98"/>
      <c r="D6" s="19" t="s">
        <v>19</v>
      </c>
    </row>
    <row r="7" spans="1:18">
      <c r="A7" s="23"/>
      <c r="B7" s="23"/>
      <c r="C7" s="23"/>
      <c r="D7" s="19"/>
    </row>
    <row r="8" spans="1:18">
      <c r="A8" s="81" t="s">
        <v>485</v>
      </c>
      <c r="B8" s="30"/>
      <c r="C8" s="30"/>
      <c r="D8" s="30"/>
    </row>
    <row r="9" spans="1:18">
      <c r="A9" s="81" t="s">
        <v>486</v>
      </c>
      <c r="B9" s="30"/>
      <c r="C9" s="30"/>
      <c r="D9" s="30"/>
    </row>
    <row r="10" spans="1:18">
      <c r="A10" s="81" t="s">
        <v>487</v>
      </c>
      <c r="B10" s="30"/>
      <c r="C10" s="30"/>
      <c r="D10" s="30"/>
    </row>
    <row r="11" spans="1:18">
      <c r="A11" s="81" t="s">
        <v>488</v>
      </c>
      <c r="B11" s="30"/>
      <c r="C11" s="30"/>
      <c r="D11" s="30"/>
    </row>
    <row r="13" spans="1:18" s="24" customFormat="1" ht="46.5" customHeight="1">
      <c r="A13" s="28" t="s">
        <v>27</v>
      </c>
      <c r="B13" s="28" t="s">
        <v>28</v>
      </c>
      <c r="C13" s="28" t="s">
        <v>29</v>
      </c>
      <c r="D13" s="28" t="s">
        <v>30</v>
      </c>
      <c r="E13" s="29" t="s">
        <v>31</v>
      </c>
      <c r="F13" s="29" t="s">
        <v>32</v>
      </c>
      <c r="G13" s="29" t="s">
        <v>489</v>
      </c>
      <c r="H13" s="29" t="s">
        <v>34</v>
      </c>
      <c r="I13" s="29" t="s">
        <v>35</v>
      </c>
      <c r="J13" s="29" t="s">
        <v>490</v>
      </c>
      <c r="K13" s="28" t="s">
        <v>37</v>
      </c>
      <c r="L13" s="28" t="s">
        <v>38</v>
      </c>
      <c r="M13" s="28" t="s">
        <v>39</v>
      </c>
      <c r="N13" s="29" t="s">
        <v>2</v>
      </c>
      <c r="O13" s="29" t="s">
        <v>40</v>
      </c>
      <c r="Q13" s="21"/>
      <c r="R13" s="3"/>
    </row>
    <row r="14" spans="1:18" s="54" customFormat="1" ht="12.95">
      <c r="A14" s="51" t="s">
        <v>491</v>
      </c>
      <c r="B14" s="51" t="s">
        <v>97</v>
      </c>
      <c r="C14" s="51" t="s">
        <v>492</v>
      </c>
      <c r="D14" s="51" t="s">
        <v>493</v>
      </c>
      <c r="E14" s="51" t="s">
        <v>360</v>
      </c>
      <c r="F14" s="51" t="s">
        <v>494</v>
      </c>
      <c r="G14" s="51" t="s">
        <v>205</v>
      </c>
      <c r="H14" s="52" t="s">
        <v>206</v>
      </c>
      <c r="I14" s="51" t="s">
        <v>495</v>
      </c>
      <c r="J14" s="51">
        <v>127920712</v>
      </c>
      <c r="K14" s="51" t="s">
        <v>496</v>
      </c>
      <c r="L14" s="53">
        <v>30382371</v>
      </c>
      <c r="M14" s="53" t="s">
        <v>497</v>
      </c>
      <c r="N14" s="51"/>
      <c r="R14" s="51"/>
    </row>
    <row r="15" spans="1:18" s="54" customFormat="1" ht="12.95">
      <c r="A15" s="51" t="s">
        <v>498</v>
      </c>
      <c r="B15" s="51" t="s">
        <v>81</v>
      </c>
      <c r="C15" s="51" t="s">
        <v>499</v>
      </c>
      <c r="D15" s="51" t="s">
        <v>500</v>
      </c>
      <c r="E15" s="51" t="s">
        <v>360</v>
      </c>
      <c r="F15" s="51" t="s">
        <v>494</v>
      </c>
      <c r="G15" s="51" t="s">
        <v>219</v>
      </c>
      <c r="H15" s="52" t="s">
        <v>206</v>
      </c>
      <c r="I15" s="51" t="s">
        <v>501</v>
      </c>
      <c r="J15" s="51">
        <v>127921596</v>
      </c>
      <c r="K15" s="51" t="s">
        <v>496</v>
      </c>
      <c r="L15" s="53">
        <v>30382371</v>
      </c>
      <c r="M15" s="53" t="s">
        <v>502</v>
      </c>
      <c r="N15" s="51"/>
      <c r="R15" s="51"/>
    </row>
    <row r="16" spans="1:18" s="54" customFormat="1" ht="12.95">
      <c r="A16" s="51" t="s">
        <v>503</v>
      </c>
      <c r="B16" s="51" t="s">
        <v>81</v>
      </c>
      <c r="C16" s="51" t="s">
        <v>504</v>
      </c>
      <c r="D16" s="51" t="s">
        <v>505</v>
      </c>
      <c r="E16" s="51" t="s">
        <v>360</v>
      </c>
      <c r="F16" s="51" t="s">
        <v>494</v>
      </c>
      <c r="G16" s="51" t="s">
        <v>205</v>
      </c>
      <c r="H16" s="52" t="s">
        <v>206</v>
      </c>
      <c r="I16" s="51" t="s">
        <v>506</v>
      </c>
      <c r="J16" s="51">
        <v>127921669</v>
      </c>
      <c r="K16" s="51" t="s">
        <v>496</v>
      </c>
      <c r="L16" s="53">
        <v>30382371</v>
      </c>
      <c r="M16" s="53" t="s">
        <v>507</v>
      </c>
      <c r="N16" s="51"/>
      <c r="R16" s="51"/>
    </row>
    <row r="17" spans="1:14" s="54" customFormat="1" ht="12.95">
      <c r="A17" s="51" t="s">
        <v>508</v>
      </c>
      <c r="B17" s="51" t="s">
        <v>81</v>
      </c>
      <c r="C17" s="51" t="s">
        <v>509</v>
      </c>
      <c r="D17" s="51" t="s">
        <v>510</v>
      </c>
      <c r="E17" s="51" t="s">
        <v>360</v>
      </c>
      <c r="F17" s="51" t="s">
        <v>494</v>
      </c>
      <c r="G17" s="51" t="s">
        <v>205</v>
      </c>
      <c r="H17" s="52" t="s">
        <v>49</v>
      </c>
      <c r="I17" s="51" t="s">
        <v>511</v>
      </c>
      <c r="J17" s="51">
        <v>127921706</v>
      </c>
      <c r="K17" s="51" t="s">
        <v>496</v>
      </c>
      <c r="L17" s="53">
        <v>30382371</v>
      </c>
      <c r="M17" s="53" t="s">
        <v>512</v>
      </c>
      <c r="N17" s="51"/>
    </row>
    <row r="18" spans="1:14" s="54" customFormat="1" ht="12.95">
      <c r="A18" s="51" t="s">
        <v>513</v>
      </c>
      <c r="B18" s="51" t="s">
        <v>81</v>
      </c>
      <c r="C18" s="51" t="s">
        <v>514</v>
      </c>
      <c r="D18" s="51" t="s">
        <v>515</v>
      </c>
      <c r="E18" s="51" t="s">
        <v>360</v>
      </c>
      <c r="F18" s="51" t="s">
        <v>494</v>
      </c>
      <c r="G18" s="51" t="s">
        <v>205</v>
      </c>
      <c r="H18" s="52" t="s">
        <v>516</v>
      </c>
      <c r="I18" s="51" t="s">
        <v>517</v>
      </c>
      <c r="J18" s="51">
        <v>127921721</v>
      </c>
      <c r="K18" s="51" t="s">
        <v>496</v>
      </c>
      <c r="L18" s="53">
        <v>30382371</v>
      </c>
      <c r="M18" s="53" t="s">
        <v>518</v>
      </c>
      <c r="N18" s="51"/>
    </row>
    <row r="19" spans="1:14" s="54" customFormat="1" ht="12.95">
      <c r="A19" s="51" t="s">
        <v>519</v>
      </c>
      <c r="B19" s="51" t="s">
        <v>81</v>
      </c>
      <c r="C19" s="51" t="s">
        <v>114</v>
      </c>
      <c r="D19" s="51" t="s">
        <v>115</v>
      </c>
      <c r="E19" s="51" t="s">
        <v>360</v>
      </c>
      <c r="F19" s="51" t="s">
        <v>520</v>
      </c>
      <c r="G19" s="51" t="s">
        <v>49</v>
      </c>
      <c r="H19" s="52" t="s">
        <v>140</v>
      </c>
      <c r="I19" s="51" t="s">
        <v>521</v>
      </c>
      <c r="J19" s="51">
        <v>127921733</v>
      </c>
      <c r="K19" s="51" t="s">
        <v>496</v>
      </c>
      <c r="L19" s="53">
        <v>30382371</v>
      </c>
      <c r="M19" s="53" t="s">
        <v>522</v>
      </c>
      <c r="N19" s="51"/>
    </row>
    <row r="20" spans="1:14" s="54" customFormat="1" ht="12.95">
      <c r="A20" s="51" t="s">
        <v>523</v>
      </c>
      <c r="B20" s="51" t="s">
        <v>81</v>
      </c>
      <c r="C20" s="51" t="s">
        <v>524</v>
      </c>
      <c r="D20" s="51" t="s">
        <v>525</v>
      </c>
      <c r="E20" s="51" t="s">
        <v>360</v>
      </c>
      <c r="F20" s="51" t="s">
        <v>494</v>
      </c>
      <c r="G20" s="51" t="s">
        <v>205</v>
      </c>
      <c r="H20" s="52" t="s">
        <v>206</v>
      </c>
      <c r="I20" s="51" t="s">
        <v>526</v>
      </c>
      <c r="J20" s="51">
        <v>127921738</v>
      </c>
      <c r="K20" s="51" t="s">
        <v>496</v>
      </c>
      <c r="L20" s="53">
        <v>30382371</v>
      </c>
      <c r="M20" s="53" t="s">
        <v>497</v>
      </c>
      <c r="N20" s="51"/>
    </row>
    <row r="21" spans="1:14" s="54" customFormat="1" ht="12.95">
      <c r="A21" s="51" t="s">
        <v>527</v>
      </c>
      <c r="B21" s="51" t="s">
        <v>73</v>
      </c>
      <c r="C21" s="51" t="s">
        <v>528</v>
      </c>
      <c r="D21" s="51" t="s">
        <v>529</v>
      </c>
      <c r="E21" s="51" t="s">
        <v>360</v>
      </c>
      <c r="F21" s="51" t="s">
        <v>494</v>
      </c>
      <c r="G21" s="51" t="s">
        <v>70</v>
      </c>
      <c r="H21" s="52" t="s">
        <v>49</v>
      </c>
      <c r="I21" s="51" t="s">
        <v>530</v>
      </c>
      <c r="J21" s="51">
        <v>127921901</v>
      </c>
      <c r="K21" s="51" t="s">
        <v>496</v>
      </c>
      <c r="L21" s="53">
        <v>30382371</v>
      </c>
      <c r="M21" s="53" t="s">
        <v>497</v>
      </c>
      <c r="N21" s="51"/>
    </row>
    <row r="22" spans="1:14" s="54" customFormat="1" ht="12.95">
      <c r="A22" s="51" t="s">
        <v>531</v>
      </c>
      <c r="B22" s="51" t="s">
        <v>73</v>
      </c>
      <c r="C22" s="51" t="s">
        <v>325</v>
      </c>
      <c r="D22" s="51" t="s">
        <v>326</v>
      </c>
      <c r="E22" s="51" t="s">
        <v>360</v>
      </c>
      <c r="F22" s="51" t="s">
        <v>494</v>
      </c>
      <c r="G22" s="51" t="s">
        <v>219</v>
      </c>
      <c r="H22" s="52" t="s">
        <v>206</v>
      </c>
      <c r="I22" s="51" t="s">
        <v>532</v>
      </c>
      <c r="J22" s="51">
        <v>127921956</v>
      </c>
      <c r="K22" s="51" t="s">
        <v>496</v>
      </c>
      <c r="L22" s="53">
        <v>30382371</v>
      </c>
      <c r="M22" s="53" t="s">
        <v>518</v>
      </c>
      <c r="N22" s="51" t="s">
        <v>533</v>
      </c>
    </row>
    <row r="23" spans="1:14" s="54" customFormat="1" ht="12.95">
      <c r="A23" s="51" t="s">
        <v>534</v>
      </c>
      <c r="B23" s="51" t="s">
        <v>61</v>
      </c>
      <c r="C23" s="51" t="s">
        <v>535</v>
      </c>
      <c r="D23" s="51" t="s">
        <v>536</v>
      </c>
      <c r="E23" s="51" t="s">
        <v>360</v>
      </c>
      <c r="F23" s="51" t="s">
        <v>494</v>
      </c>
      <c r="G23" s="51" t="s">
        <v>70</v>
      </c>
      <c r="H23" s="52" t="s">
        <v>49</v>
      </c>
      <c r="I23" s="51" t="s">
        <v>537</v>
      </c>
      <c r="J23" s="51">
        <v>127930764</v>
      </c>
      <c r="K23" s="51" t="s">
        <v>496</v>
      </c>
      <c r="L23" s="53">
        <v>30382371</v>
      </c>
      <c r="M23" s="53" t="s">
        <v>497</v>
      </c>
      <c r="N23" s="51"/>
    </row>
    <row r="24" spans="1:14" s="54" customFormat="1" ht="12.95">
      <c r="A24" s="51" t="s">
        <v>538</v>
      </c>
      <c r="B24" s="51" t="s">
        <v>387</v>
      </c>
      <c r="C24" s="51" t="s">
        <v>539</v>
      </c>
      <c r="D24" s="51" t="s">
        <v>540</v>
      </c>
      <c r="E24" s="51" t="s">
        <v>541</v>
      </c>
      <c r="F24" s="51" t="s">
        <v>542</v>
      </c>
      <c r="G24" s="51" t="s">
        <v>49</v>
      </c>
      <c r="H24" s="52" t="s">
        <v>543</v>
      </c>
      <c r="I24" s="51" t="s">
        <v>544</v>
      </c>
      <c r="J24" s="51" t="s">
        <v>545</v>
      </c>
      <c r="K24" s="51" t="s">
        <v>496</v>
      </c>
      <c r="L24" s="53">
        <v>30382371</v>
      </c>
      <c r="M24" s="53" t="s">
        <v>546</v>
      </c>
      <c r="N24" s="51"/>
    </row>
    <row r="25" spans="1:14" s="54" customFormat="1" ht="12.95">
      <c r="A25" s="51" t="s">
        <v>547</v>
      </c>
      <c r="B25" s="51" t="s">
        <v>387</v>
      </c>
      <c r="C25" s="51" t="s">
        <v>548</v>
      </c>
      <c r="D25" s="51" t="s">
        <v>549</v>
      </c>
      <c r="E25" s="51" t="s">
        <v>360</v>
      </c>
      <c r="F25" s="51" t="s">
        <v>494</v>
      </c>
      <c r="G25" s="51" t="s">
        <v>205</v>
      </c>
      <c r="H25" s="52" t="s">
        <v>49</v>
      </c>
      <c r="I25" s="51" t="s">
        <v>550</v>
      </c>
      <c r="J25" s="51" t="s">
        <v>551</v>
      </c>
      <c r="K25" s="51" t="s">
        <v>496</v>
      </c>
      <c r="L25" s="53">
        <v>30382371</v>
      </c>
      <c r="M25" s="53" t="s">
        <v>502</v>
      </c>
      <c r="N25" s="51"/>
    </row>
    <row r="26" spans="1:14" s="54" customFormat="1" ht="12.95">
      <c r="A26" s="51" t="s">
        <v>552</v>
      </c>
      <c r="B26" s="51" t="s">
        <v>387</v>
      </c>
      <c r="C26" s="51" t="s">
        <v>553</v>
      </c>
      <c r="D26" s="51" t="s">
        <v>554</v>
      </c>
      <c r="E26" s="51" t="s">
        <v>360</v>
      </c>
      <c r="F26" s="51" t="s">
        <v>494</v>
      </c>
      <c r="G26" s="51" t="s">
        <v>205</v>
      </c>
      <c r="H26" s="52" t="s">
        <v>49</v>
      </c>
      <c r="I26" s="51" t="s">
        <v>555</v>
      </c>
      <c r="J26" s="51">
        <v>127933084</v>
      </c>
      <c r="K26" s="51" t="s">
        <v>496</v>
      </c>
      <c r="L26" s="53">
        <v>30382371</v>
      </c>
      <c r="M26" s="53" t="s">
        <v>502</v>
      </c>
      <c r="N26" s="51"/>
    </row>
    <row r="27" spans="1:14" s="54" customFormat="1" ht="12.95">
      <c r="A27" s="51" t="s">
        <v>556</v>
      </c>
      <c r="B27" s="51" t="s">
        <v>43</v>
      </c>
      <c r="C27" s="51" t="s">
        <v>557</v>
      </c>
      <c r="D27" s="51" t="s">
        <v>558</v>
      </c>
      <c r="E27" s="51" t="s">
        <v>360</v>
      </c>
      <c r="F27" s="51" t="s">
        <v>494</v>
      </c>
      <c r="G27" s="51" t="s">
        <v>205</v>
      </c>
      <c r="H27" s="52" t="s">
        <v>49</v>
      </c>
      <c r="I27" s="51" t="s">
        <v>559</v>
      </c>
      <c r="J27" s="51">
        <v>127939902</v>
      </c>
      <c r="K27" s="51" t="s">
        <v>496</v>
      </c>
      <c r="L27" s="53">
        <v>30382371</v>
      </c>
      <c r="M27" s="53" t="s">
        <v>502</v>
      </c>
      <c r="N27" s="51"/>
    </row>
    <row r="28" spans="1:14" s="54" customFormat="1" ht="12.95">
      <c r="A28" s="51" t="s">
        <v>560</v>
      </c>
      <c r="B28" s="51" t="s">
        <v>143</v>
      </c>
      <c r="C28" s="52" t="s">
        <v>561</v>
      </c>
      <c r="D28" s="51" t="s">
        <v>562</v>
      </c>
      <c r="E28" s="51" t="s">
        <v>360</v>
      </c>
      <c r="F28" s="51" t="s">
        <v>494</v>
      </c>
      <c r="G28" s="51" t="s">
        <v>70</v>
      </c>
      <c r="H28" s="52" t="s">
        <v>49</v>
      </c>
      <c r="I28" s="51" t="s">
        <v>559</v>
      </c>
      <c r="J28" s="51">
        <v>127942085</v>
      </c>
      <c r="K28" s="51" t="s">
        <v>496</v>
      </c>
      <c r="L28" s="53">
        <v>30382371</v>
      </c>
      <c r="M28" s="53" t="s">
        <v>563</v>
      </c>
      <c r="N28" s="51"/>
    </row>
    <row r="29" spans="1:14" s="54" customFormat="1" ht="26.1">
      <c r="A29" s="51" t="s">
        <v>564</v>
      </c>
      <c r="B29" s="51" t="s">
        <v>137</v>
      </c>
      <c r="C29" s="51" t="s">
        <v>565</v>
      </c>
      <c r="D29" s="51" t="s">
        <v>566</v>
      </c>
      <c r="E29" s="51" t="s">
        <v>360</v>
      </c>
      <c r="F29" s="51" t="s">
        <v>494</v>
      </c>
      <c r="G29" s="51" t="s">
        <v>205</v>
      </c>
      <c r="H29" s="52" t="s">
        <v>567</v>
      </c>
      <c r="I29" s="51" t="s">
        <v>568</v>
      </c>
      <c r="J29" s="51">
        <v>127943985</v>
      </c>
      <c r="K29" s="51" t="s">
        <v>496</v>
      </c>
      <c r="L29" s="53">
        <v>30382371</v>
      </c>
      <c r="M29" s="53" t="s">
        <v>507</v>
      </c>
      <c r="N29" s="51"/>
    </row>
    <row r="30" spans="1:14" s="54" customFormat="1" ht="12.95">
      <c r="A30" s="51" t="s">
        <v>569</v>
      </c>
      <c r="B30" s="51" t="s">
        <v>348</v>
      </c>
      <c r="C30" s="51" t="s">
        <v>570</v>
      </c>
      <c r="D30" s="51" t="s">
        <v>571</v>
      </c>
      <c r="E30" s="51" t="s">
        <v>360</v>
      </c>
      <c r="F30" s="51" t="s">
        <v>494</v>
      </c>
      <c r="G30" s="51" t="s">
        <v>219</v>
      </c>
      <c r="H30" s="52" t="s">
        <v>49</v>
      </c>
      <c r="I30" s="51" t="s">
        <v>559</v>
      </c>
      <c r="J30" s="51">
        <v>127949805</v>
      </c>
      <c r="K30" s="51" t="s">
        <v>496</v>
      </c>
      <c r="L30" s="53">
        <v>30382371</v>
      </c>
      <c r="M30" s="53" t="s">
        <v>497</v>
      </c>
      <c r="N30" s="51"/>
    </row>
    <row r="31" spans="1:14" s="54" customFormat="1" ht="12.95">
      <c r="A31" s="51" t="s">
        <v>572</v>
      </c>
      <c r="B31" s="51" t="s">
        <v>86</v>
      </c>
      <c r="C31" s="51" t="s">
        <v>573</v>
      </c>
      <c r="D31" s="51" t="s">
        <v>574</v>
      </c>
      <c r="E31" s="51" t="s">
        <v>360</v>
      </c>
      <c r="F31" s="51" t="s">
        <v>494</v>
      </c>
      <c r="G31" s="51" t="s">
        <v>205</v>
      </c>
      <c r="H31" s="52" t="s">
        <v>516</v>
      </c>
      <c r="I31" s="51" t="s">
        <v>575</v>
      </c>
      <c r="J31" s="51">
        <v>127957589</v>
      </c>
      <c r="K31" s="51" t="s">
        <v>496</v>
      </c>
      <c r="L31" s="53">
        <v>30382371</v>
      </c>
      <c r="M31" s="53" t="s">
        <v>576</v>
      </c>
      <c r="N31" s="51"/>
    </row>
    <row r="32" spans="1:14" s="54" customFormat="1" ht="12.95">
      <c r="A32" s="51" t="s">
        <v>577</v>
      </c>
      <c r="B32" s="51" t="s">
        <v>86</v>
      </c>
      <c r="C32" s="51" t="s">
        <v>578</v>
      </c>
      <c r="D32" s="51" t="s">
        <v>579</v>
      </c>
      <c r="E32" s="51" t="s">
        <v>360</v>
      </c>
      <c r="F32" s="51" t="s">
        <v>494</v>
      </c>
      <c r="G32" s="51" t="s">
        <v>205</v>
      </c>
      <c r="H32" s="52" t="s">
        <v>206</v>
      </c>
      <c r="I32" s="51" t="s">
        <v>580</v>
      </c>
      <c r="J32" s="51">
        <v>127957592</v>
      </c>
      <c r="K32" s="51" t="s">
        <v>496</v>
      </c>
      <c r="L32" s="53">
        <v>30382371</v>
      </c>
      <c r="M32" s="53" t="s">
        <v>581</v>
      </c>
      <c r="N32" s="51"/>
    </row>
    <row r="33" spans="1:17" s="54" customFormat="1" ht="12.95">
      <c r="A33" s="51" t="s">
        <v>582</v>
      </c>
      <c r="B33" s="51" t="s">
        <v>137</v>
      </c>
      <c r="C33" s="51" t="s">
        <v>583</v>
      </c>
      <c r="D33" s="51" t="s">
        <v>584</v>
      </c>
      <c r="E33" s="51" t="s">
        <v>360</v>
      </c>
      <c r="F33" s="51" t="s">
        <v>494</v>
      </c>
      <c r="G33" s="51" t="s">
        <v>70</v>
      </c>
      <c r="H33" s="52" t="s">
        <v>206</v>
      </c>
      <c r="I33" s="51" t="s">
        <v>585</v>
      </c>
      <c r="J33" s="51">
        <v>127943848</v>
      </c>
      <c r="K33" s="51" t="s">
        <v>586</v>
      </c>
      <c r="L33" s="53">
        <v>33226711</v>
      </c>
      <c r="M33" s="53"/>
      <c r="N33" s="51"/>
      <c r="Q33" s="55"/>
    </row>
    <row r="34" spans="1:17" s="54" customFormat="1" ht="12.95">
      <c r="A34" s="51" t="s">
        <v>587</v>
      </c>
      <c r="B34" s="51" t="s">
        <v>43</v>
      </c>
      <c r="C34" s="51" t="s">
        <v>588</v>
      </c>
      <c r="D34" s="51" t="s">
        <v>589</v>
      </c>
      <c r="E34" s="51" t="s">
        <v>360</v>
      </c>
      <c r="F34" s="51" t="s">
        <v>494</v>
      </c>
      <c r="G34" s="51" t="s">
        <v>70</v>
      </c>
      <c r="H34" s="52" t="s">
        <v>49</v>
      </c>
      <c r="I34" s="51" t="s">
        <v>49</v>
      </c>
      <c r="J34" s="51">
        <v>127939856</v>
      </c>
      <c r="K34" s="51" t="s">
        <v>586</v>
      </c>
      <c r="L34" s="53">
        <v>33226711</v>
      </c>
      <c r="M34" s="56"/>
    </row>
    <row r="35" spans="1:17" s="54" customFormat="1" ht="12">
      <c r="B35" s="51"/>
      <c r="C35" s="51"/>
      <c r="D35" s="51"/>
      <c r="E35" s="51"/>
      <c r="F35" s="51"/>
      <c r="G35" s="51"/>
      <c r="H35" s="57"/>
      <c r="M35" s="56"/>
    </row>
    <row r="37" spans="1:17">
      <c r="A37" s="35"/>
      <c r="E37" s="26"/>
    </row>
    <row r="38" spans="1:17">
      <c r="O38" s="36"/>
    </row>
  </sheetData>
  <mergeCells count="6">
    <mergeCell ref="A5:C5"/>
    <mergeCell ref="A6:C6"/>
    <mergeCell ref="A1:C1"/>
    <mergeCell ref="A2:C2"/>
    <mergeCell ref="A3:C3"/>
    <mergeCell ref="A4:C4"/>
  </mergeCells>
  <conditionalFormatting sqref="A13">
    <cfRule type="duplicateValues" dxfId="19" priority="2"/>
  </conditionalFormatting>
  <conditionalFormatting sqref="K13:M13">
    <cfRule type="duplicateValues" dxfId="18" priority="3"/>
  </conditionalFormatting>
  <conditionalFormatting sqref="R13">
    <cfRule type="duplicateValues" dxfId="17" priority="1"/>
  </conditionalFormatting>
  <hyperlinks>
    <hyperlink ref="D2" r:id="rId1" display="http://www.ncbi.nlm.nih.gov/gene/256471" xr:uid="{BA916A59-2694-42C2-AE71-FF2FEB987864}"/>
    <hyperlink ref="D4" r:id="rId2" xr:uid="{6A84F9F4-2E98-40D1-8627-02289BB1317D}"/>
    <hyperlink ref="D6" r:id="rId3" xr:uid="{94FFAE35-A27F-479F-8FA7-B78ED540DB8D}"/>
    <hyperlink ref="D5" r:id="rId4" xr:uid="{AC780B6C-E15E-46EF-ABBE-A6F6DA3AAB75}"/>
  </hyperlinks>
  <pageMargins left="0.7" right="0.7" top="0.75" bottom="0.75" header="0.3" footer="0.3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2E3C-0E8E-437E-8960-8588F51AC9E2}">
  <dimension ref="A1:AA32"/>
  <sheetViews>
    <sheetView workbookViewId="0">
      <selection activeCell="B1" sqref="B1"/>
    </sheetView>
    <sheetView workbookViewId="1">
      <selection activeCell="L7" sqref="L7"/>
    </sheetView>
  </sheetViews>
  <sheetFormatPr defaultColWidth="8.875" defaultRowHeight="15.95"/>
  <cols>
    <col min="1" max="1" width="11" customWidth="1"/>
    <col min="2" max="2" width="12.375" customWidth="1"/>
    <col min="3" max="3" width="10.5" customWidth="1"/>
    <col min="4" max="4" width="11.5" customWidth="1"/>
    <col min="5" max="7" width="11" customWidth="1"/>
    <col min="8" max="8" width="10.5" customWidth="1"/>
    <col min="9" max="9" width="10.875" customWidth="1"/>
    <col min="10" max="10" width="9.5" customWidth="1"/>
  </cols>
  <sheetData>
    <row r="1" spans="1:27" ht="33.950000000000003">
      <c r="A1" s="4" t="s">
        <v>590</v>
      </c>
      <c r="B1" s="5">
        <f>COUNTA('CLN7'!A12:A104)</f>
        <v>88</v>
      </c>
      <c r="C1" s="25" t="s">
        <v>591</v>
      </c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6"/>
      <c r="T1" s="6"/>
      <c r="U1" s="6"/>
      <c r="V1" s="6"/>
      <c r="W1" s="6"/>
      <c r="X1" s="6"/>
    </row>
    <row r="2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6"/>
      <c r="T2" s="85"/>
      <c r="U2" s="6"/>
      <c r="V2" s="6"/>
      <c r="W2" s="6"/>
      <c r="X2" s="6"/>
    </row>
    <row r="3" spans="1:27" ht="51">
      <c r="A3" s="7" t="s">
        <v>592</v>
      </c>
      <c r="B3" s="8" t="s">
        <v>46</v>
      </c>
      <c r="C3" s="8" t="s">
        <v>134</v>
      </c>
      <c r="D3" s="8" t="s">
        <v>228</v>
      </c>
      <c r="E3" s="8" t="s">
        <v>146</v>
      </c>
      <c r="F3" s="8" t="s">
        <v>108</v>
      </c>
      <c r="G3" s="9" t="s">
        <v>49</v>
      </c>
      <c r="H3" s="1"/>
      <c r="I3" s="1"/>
      <c r="J3" s="1"/>
      <c r="K3" s="1"/>
      <c r="L3" s="1"/>
      <c r="M3" s="27"/>
      <c r="N3" s="2"/>
      <c r="O3" s="2"/>
      <c r="P3" s="2"/>
      <c r="Q3" s="2"/>
      <c r="S3" s="38"/>
      <c r="T3" s="85"/>
      <c r="U3" s="2"/>
      <c r="V3" s="2"/>
      <c r="W3" s="2"/>
      <c r="X3" s="2"/>
    </row>
    <row r="4" spans="1:27">
      <c r="A4" s="10">
        <f>SUM(B4:G4)</f>
        <v>88</v>
      </c>
      <c r="B4" s="11">
        <f>COUNTIF('CLN7'!$E$12:$E104,"substitution")</f>
        <v>70</v>
      </c>
      <c r="C4" s="11">
        <f>COUNTIF('CLN7'!$E$12:$E104,"deletion")</f>
        <v>12</v>
      </c>
      <c r="D4" s="11">
        <f>COUNTIF('CLN7'!$E$12:$E104,"duplication")</f>
        <v>1</v>
      </c>
      <c r="E4" s="11">
        <f>COUNTIF('CLN7'!$E$12:$E104,"deletion insertion")</f>
        <v>2</v>
      </c>
      <c r="F4" s="11">
        <f>COUNTIF('CLN7'!$E$12:$E104,"insertion")</f>
        <v>2</v>
      </c>
      <c r="G4" s="12">
        <f>COUNTIF('CLN7'!$E$12:$E104,"NA")</f>
        <v>1</v>
      </c>
      <c r="H4" s="2"/>
      <c r="I4" s="1"/>
      <c r="J4" s="1"/>
      <c r="K4" s="1"/>
      <c r="L4" s="1"/>
      <c r="M4" s="1"/>
      <c r="N4" s="2"/>
      <c r="O4" s="2"/>
      <c r="P4" s="2"/>
      <c r="Q4" s="2"/>
      <c r="T4" s="85"/>
      <c r="U4" s="2"/>
      <c r="V4" s="2"/>
      <c r="W4" s="2"/>
      <c r="X4" s="2"/>
    </row>
    <row r="5" spans="1:27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1"/>
      <c r="M5" s="1"/>
      <c r="N5" s="2"/>
      <c r="O5" s="2"/>
      <c r="P5" s="2"/>
      <c r="Q5" s="2"/>
      <c r="T5" s="85"/>
      <c r="U5" s="2"/>
      <c r="V5" s="2"/>
      <c r="W5" s="2"/>
      <c r="X5" s="2"/>
    </row>
    <row r="6" spans="1:27" ht="102">
      <c r="A6" s="7" t="s">
        <v>593</v>
      </c>
      <c r="B6" s="8" t="s">
        <v>520</v>
      </c>
      <c r="C6" s="8" t="s">
        <v>494</v>
      </c>
      <c r="D6" s="8" t="s">
        <v>146</v>
      </c>
      <c r="E6" s="8" t="s">
        <v>135</v>
      </c>
      <c r="F6" s="8" t="s">
        <v>134</v>
      </c>
      <c r="G6" s="8" t="s">
        <v>108</v>
      </c>
      <c r="H6" s="8" t="s">
        <v>594</v>
      </c>
      <c r="I6" s="8" t="s">
        <v>595</v>
      </c>
      <c r="J6" s="8" t="s">
        <v>596</v>
      </c>
      <c r="K6" s="8" t="s">
        <v>597</v>
      </c>
      <c r="L6" s="8" t="s">
        <v>598</v>
      </c>
      <c r="M6" s="8" t="s">
        <v>599</v>
      </c>
      <c r="N6" s="8" t="s">
        <v>600</v>
      </c>
      <c r="O6" s="8" t="s">
        <v>601</v>
      </c>
      <c r="P6" s="8" t="s">
        <v>602</v>
      </c>
      <c r="Q6" s="9" t="s">
        <v>603</v>
      </c>
      <c r="S6" s="2"/>
      <c r="U6" s="2"/>
      <c r="V6" s="85"/>
      <c r="W6" s="2"/>
    </row>
    <row r="7" spans="1:27">
      <c r="A7" s="10">
        <f>SUM(B7:Q7)</f>
        <v>88</v>
      </c>
      <c r="B7" s="11">
        <f>COUNTIF('CLN7'!$F$12:$F104,"Nonsense")</f>
        <v>17</v>
      </c>
      <c r="C7" s="11">
        <f>COUNTIF('CLN7'!$F$12:$F104,"missense*")</f>
        <v>38</v>
      </c>
      <c r="D7" s="11">
        <f>COUNTIF('CLN7'!$F$12:$F104,"deletion insertion")</f>
        <v>0</v>
      </c>
      <c r="E7" s="11">
        <f>COUNTIF('CLN7'!$F$12:$F104,"frameshift")</f>
        <v>8</v>
      </c>
      <c r="F7" s="11">
        <f>COUNTIF('CLN7'!$F$12:$F104,"deletion")</f>
        <v>2</v>
      </c>
      <c r="G7" s="11">
        <f>COUNTIF('CLN7'!$F$12:$F104,"insertion")</f>
        <v>0</v>
      </c>
      <c r="H7" s="11">
        <f>COUNTIF('CLN7'!$F$12:$F104,"varies")</f>
        <v>0</v>
      </c>
      <c r="I7" s="11">
        <f>COUNTIF('CLN7'!$F$12:$F104,"new donor*")</f>
        <v>1</v>
      </c>
      <c r="J7" s="11">
        <f>COUNTIF('CLN7'!$F$12:$F104,"*ESE / ESS*")</f>
        <v>1</v>
      </c>
      <c r="K7" s="11">
        <f>COUNTIF('CLN7'!$F$12:$F104,"*WT donor*")</f>
        <v>9</v>
      </c>
      <c r="L7" s="11">
        <f>COUNTIF('CLN7'!$F$12:$F104,"*WT acceptor*")</f>
        <v>4</v>
      </c>
      <c r="M7" s="11">
        <f>COUNTIF('CLN7'!$F$12:$F104,"*cryptic acceptor site*")</f>
        <v>3</v>
      </c>
      <c r="N7" s="11">
        <f>COUNTIF('CLN7'!$F$12:$F104,"*cryptic donor site*")</f>
        <v>2</v>
      </c>
      <c r="O7" s="11">
        <f>COUNTIF('CLN7'!$F$12:$F104,"*exonic ESE site*")</f>
        <v>1</v>
      </c>
      <c r="P7" s="11">
        <f>COUNTIF('CLN7'!$F$12:$F104,"*no significant*")</f>
        <v>1</v>
      </c>
      <c r="Q7" s="12">
        <f>COUNTIF('CLN7'!$F$12:$F104,"*exonic ESS site*")</f>
        <v>1</v>
      </c>
      <c r="S7" s="2"/>
      <c r="U7" s="2"/>
      <c r="V7" s="85"/>
      <c r="W7" s="2"/>
    </row>
    <row r="8" spans="1:2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  <c r="P8" s="2"/>
      <c r="Q8" s="2"/>
      <c r="T8" s="18"/>
      <c r="U8" s="2"/>
      <c r="V8" s="2"/>
      <c r="W8" s="2"/>
      <c r="X8" s="2"/>
    </row>
    <row r="9" spans="1:27" ht="51">
      <c r="A9" s="7" t="s">
        <v>604</v>
      </c>
      <c r="B9" s="13" t="s">
        <v>57</v>
      </c>
      <c r="C9" s="13" t="s">
        <v>605</v>
      </c>
      <c r="D9" s="13" t="s">
        <v>606</v>
      </c>
      <c r="E9" s="13" t="s">
        <v>607</v>
      </c>
      <c r="F9" s="13" t="s">
        <v>94</v>
      </c>
      <c r="G9" s="13" t="s">
        <v>516</v>
      </c>
      <c r="H9" s="13" t="s">
        <v>608</v>
      </c>
      <c r="I9" s="14" t="s">
        <v>206</v>
      </c>
      <c r="J9" s="1"/>
      <c r="K9" s="22"/>
      <c r="L9" s="22"/>
      <c r="M9" s="22"/>
      <c r="N9" s="2"/>
      <c r="O9" s="2"/>
      <c r="P9" s="2"/>
      <c r="S9" s="2"/>
      <c r="T9" s="18"/>
      <c r="U9" s="2"/>
      <c r="V9" s="2"/>
      <c r="W9" s="2"/>
    </row>
    <row r="10" spans="1:27">
      <c r="A10" s="10">
        <f>SUM(B10:I10)</f>
        <v>88</v>
      </c>
      <c r="B10" s="11">
        <f>COUNTIF('CLN7'!$H$12:$H104,"pathogenic")</f>
        <v>16</v>
      </c>
      <c r="C10" s="11">
        <f>COUNTIF('CLN7'!$H$12:$H104,"pathogenic/*")</f>
        <v>1</v>
      </c>
      <c r="D10" s="11">
        <f>COUNTIF('CLN7'!$H$12:$H104,"NA")</f>
        <v>50</v>
      </c>
      <c r="E10" s="11">
        <f>COUNTIF('CLN7'!$H$12:$H104,"not provided")</f>
        <v>0</v>
      </c>
      <c r="F10" s="11">
        <f>COUNTIF('CLN7'!$H$12:$H104,"likely pathogenic")</f>
        <v>7</v>
      </c>
      <c r="G10" s="11">
        <f>COUNTIF('CLN7'!$H$12:$H104,"benign*")</f>
        <v>1</v>
      </c>
      <c r="H10" s="11">
        <f>COUNTIF('CLN7'!$H$12:$H104,"conflicting*")</f>
        <v>2</v>
      </c>
      <c r="I10" s="12">
        <f>COUNTIF('CLN7'!$H$12:$H104,"uncertain*")</f>
        <v>11</v>
      </c>
      <c r="J10" s="1"/>
      <c r="K10" s="1"/>
      <c r="L10" s="1"/>
      <c r="M10" s="2"/>
      <c r="N10" s="2"/>
      <c r="O10" s="2"/>
      <c r="P10" s="2"/>
      <c r="S10" s="2"/>
      <c r="T10" s="2"/>
      <c r="U10" s="2"/>
      <c r="V10" s="2"/>
      <c r="W10" s="2"/>
    </row>
    <row r="11" spans="1:27">
      <c r="A11" s="1"/>
      <c r="B11" s="1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  <c r="O11" s="2"/>
      <c r="P11" s="2"/>
      <c r="Q11" s="2"/>
      <c r="T11" s="2"/>
      <c r="U11" s="2"/>
      <c r="V11" s="2"/>
      <c r="W11" s="2"/>
      <c r="X11" s="2"/>
    </row>
    <row r="12" spans="1:27" ht="33.950000000000003">
      <c r="A12" s="7" t="s">
        <v>609</v>
      </c>
      <c r="B12" s="8" t="s">
        <v>610</v>
      </c>
      <c r="C12" s="8" t="s">
        <v>124</v>
      </c>
      <c r="D12" s="8" t="s">
        <v>86</v>
      </c>
      <c r="E12" s="8" t="s">
        <v>348</v>
      </c>
      <c r="F12" s="8" t="s">
        <v>137</v>
      </c>
      <c r="G12" s="8" t="s">
        <v>143</v>
      </c>
      <c r="H12" s="8" t="s">
        <v>43</v>
      </c>
      <c r="I12" s="8" t="s">
        <v>284</v>
      </c>
      <c r="J12" s="8" t="s">
        <v>387</v>
      </c>
      <c r="K12" s="8" t="s">
        <v>61</v>
      </c>
      <c r="L12" s="8" t="s">
        <v>73</v>
      </c>
      <c r="M12" s="8" t="s">
        <v>81</v>
      </c>
      <c r="N12" s="8" t="s">
        <v>97</v>
      </c>
      <c r="O12" s="16" t="s">
        <v>611</v>
      </c>
      <c r="P12" s="16" t="s">
        <v>170</v>
      </c>
      <c r="Q12" s="16" t="s">
        <v>456</v>
      </c>
      <c r="R12" s="16" t="s">
        <v>392</v>
      </c>
      <c r="S12" s="16" t="s">
        <v>270</v>
      </c>
      <c r="T12" s="16" t="s">
        <v>194</v>
      </c>
      <c r="U12" s="16" t="s">
        <v>450</v>
      </c>
      <c r="V12" s="16" t="s">
        <v>53</v>
      </c>
      <c r="W12" s="16" t="s">
        <v>106</v>
      </c>
      <c r="X12" s="16" t="s">
        <v>352</v>
      </c>
      <c r="Y12" s="16" t="s">
        <v>148</v>
      </c>
      <c r="Z12" s="16" t="s">
        <v>612</v>
      </c>
      <c r="AA12" s="17" t="s">
        <v>49</v>
      </c>
    </row>
    <row r="13" spans="1:27">
      <c r="A13" s="10">
        <f>SUM(B13:AA13)</f>
        <v>88</v>
      </c>
      <c r="B13" s="11">
        <f>COUNTIF('CLN7'!$B$12:$B104,"*-*")</f>
        <v>1</v>
      </c>
      <c r="C13" s="11">
        <f>COUNTIF('CLN7'!$B$12:$B104,"Exon 02")</f>
        <v>1</v>
      </c>
      <c r="D13" s="11">
        <f>COUNTIF('CLN7'!$B$12:$B104,"Exon 03")</f>
        <v>6</v>
      </c>
      <c r="E13" s="11">
        <f>COUNTIF('CLN7'!$B$12:$B104,"Exon 04")</f>
        <v>1</v>
      </c>
      <c r="F13" s="11">
        <f>COUNTIF('CLN7'!$B$12:$B104,"Exon 05")</f>
        <v>6</v>
      </c>
      <c r="G13" s="11">
        <f>COUNTIF('CLN7'!$B$12:$B104,"Exon 06")</f>
        <v>6</v>
      </c>
      <c r="H13" s="11">
        <f>COUNTIF('CLN7'!$B$12:$B104,"Exon 07")</f>
        <v>9</v>
      </c>
      <c r="I13" s="11">
        <f>COUNTIF('CLN7'!$B$12:$B104,"Exon 08")</f>
        <v>2</v>
      </c>
      <c r="J13" s="11">
        <f>COUNTIF('CLN7'!$B$12:$B104,"Exon 09")</f>
        <v>2</v>
      </c>
      <c r="K13" s="11">
        <f>COUNTIF('CLN7'!$B$12:$B104,"Exon 10")</f>
        <v>4</v>
      </c>
      <c r="L13" s="11">
        <f>COUNTIF('CLN7'!$B$12:$B104,"Exon 11")</f>
        <v>8</v>
      </c>
      <c r="M13" s="11">
        <f>COUNTIF('CLN7'!$B$12:$B104,"Exon 12")</f>
        <v>10</v>
      </c>
      <c r="N13" s="11">
        <f>COUNTIF('CLN7'!$B$12:$B104,"Exon 13")</f>
        <v>11</v>
      </c>
      <c r="O13" s="11">
        <f>COUNTIF('CLN7'!$B$12:$B104,"Intron 01")</f>
        <v>0</v>
      </c>
      <c r="P13" s="11">
        <f>COUNTIF('CLN7'!$B$12:$B104,"Intron 02")</f>
        <v>2</v>
      </c>
      <c r="Q13" s="11">
        <f>COUNTIF('CLN7'!$B$12:$B104,"Intron 03")</f>
        <v>2</v>
      </c>
      <c r="R13" s="11">
        <f>COUNTIF('CLN7'!$B$12:$B104,"Intron 04")</f>
        <v>1</v>
      </c>
      <c r="S13" s="11">
        <f>COUNTIF('CLN7'!$B$12:$B104,"Intron 05")</f>
        <v>1</v>
      </c>
      <c r="T13" s="11">
        <f>COUNTIF('CLN7'!$B$12:$B104,"Intron 06")</f>
        <v>3</v>
      </c>
      <c r="U13" s="11">
        <f>COUNTIF('CLN7'!$B$12:$B104,"Intron 07")</f>
        <v>1</v>
      </c>
      <c r="V13" s="11">
        <f>COUNTIF('CLN7'!$B$12:$B104,"Intron 08")</f>
        <v>2</v>
      </c>
      <c r="W13" s="11">
        <f>COUNTIF('CLN7'!$B$12:$B104,"Intron 09")</f>
        <v>5</v>
      </c>
      <c r="X13" s="11">
        <f>COUNTIF('CLN7'!$B$12:$B104,"Intron 10")</f>
        <v>1</v>
      </c>
      <c r="Y13" s="11">
        <f>COUNTIF('CLN7'!$B$12:$B104,"Intron 11")</f>
        <v>2</v>
      </c>
      <c r="Z13" s="11">
        <f>COUNTIF('CLN7'!$B$12:$B104,"Intron 12")</f>
        <v>0</v>
      </c>
      <c r="AA13" s="12">
        <f>COUNTIF('CLN7'!$B$12:$B104,"NA")</f>
        <v>1</v>
      </c>
    </row>
    <row r="14" spans="1:2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T14" s="2"/>
      <c r="U14" s="2"/>
      <c r="V14" s="2"/>
      <c r="W14" s="2"/>
      <c r="X14" s="2"/>
    </row>
    <row r="15" spans="1:27" ht="17.100000000000001">
      <c r="A15" s="1" t="s">
        <v>613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/>
      <c r="Q15" s="2"/>
      <c r="T15" s="2"/>
      <c r="U15" s="2"/>
      <c r="V15" s="2"/>
      <c r="W15" s="2"/>
      <c r="X15" s="2"/>
    </row>
    <row r="16" spans="1:27" ht="33.950000000000003">
      <c r="A16" s="1" t="s">
        <v>614</v>
      </c>
      <c r="B16" s="15" t="s">
        <v>615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T16" s="2"/>
      <c r="U16" s="2"/>
      <c r="V16" s="2"/>
      <c r="W16" s="2"/>
      <c r="X16" s="2"/>
    </row>
    <row r="17" spans="1:24" ht="51">
      <c r="A17" s="1" t="s">
        <v>616</v>
      </c>
      <c r="B17" s="15" t="s">
        <v>617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/>
      <c r="Q17" s="2"/>
      <c r="T17" s="2"/>
      <c r="U17" s="2"/>
      <c r="V17" s="2"/>
      <c r="W17" s="2"/>
      <c r="X17" s="2"/>
    </row>
    <row r="18" spans="1:24" ht="51">
      <c r="A18" s="1" t="s">
        <v>604</v>
      </c>
      <c r="B18" s="99" t="s">
        <v>618</v>
      </c>
      <c r="C18" s="99"/>
      <c r="D18" s="99"/>
      <c r="E18" s="99"/>
      <c r="F18" s="99"/>
      <c r="G18" s="1"/>
      <c r="H18" s="1"/>
      <c r="I18" s="1"/>
      <c r="J18" s="1"/>
      <c r="K18" s="1"/>
      <c r="L18" s="1"/>
      <c r="M18" s="1"/>
      <c r="N18" s="2"/>
      <c r="O18" s="2"/>
      <c r="P18" s="2"/>
      <c r="Q18" s="2"/>
      <c r="T18" s="2"/>
      <c r="U18" s="2"/>
      <c r="V18" s="2"/>
      <c r="W18" s="2"/>
      <c r="X18" s="2"/>
    </row>
    <row r="19" spans="1:24">
      <c r="A19" s="1"/>
      <c r="B19" s="1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T19" s="2"/>
      <c r="U19" s="2"/>
      <c r="V19" s="2"/>
      <c r="W19" s="2"/>
      <c r="X19" s="2"/>
    </row>
    <row r="20" spans="1:24">
      <c r="A20" s="1"/>
      <c r="B20" s="1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  <c r="Q20" s="2"/>
      <c r="T20" s="2"/>
      <c r="U20" s="2"/>
      <c r="V20" s="2"/>
      <c r="W20" s="2"/>
      <c r="X20" s="2"/>
    </row>
    <row r="21" spans="1:24">
      <c r="A21" s="1"/>
      <c r="B21" s="15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  <c r="Q21" s="2"/>
      <c r="T21" s="2"/>
      <c r="U21" s="2"/>
      <c r="V21" s="2"/>
      <c r="W21" s="2"/>
      <c r="X21" s="2"/>
    </row>
    <row r="22" spans="1:2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T22" s="2"/>
      <c r="U22" s="2"/>
      <c r="V22" s="2"/>
      <c r="W22" s="2"/>
      <c r="X22" s="2"/>
    </row>
    <row r="23" spans="1:2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/>
      <c r="Q23" s="2"/>
      <c r="T23" s="2"/>
      <c r="U23" s="2"/>
      <c r="V23" s="2"/>
      <c r="W23" s="2"/>
      <c r="X23" s="2"/>
    </row>
    <row r="24" spans="1: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/>
      <c r="Q24" s="2"/>
      <c r="T24" s="2"/>
      <c r="U24" s="2"/>
      <c r="V24" s="2"/>
      <c r="W24" s="2"/>
      <c r="X24" s="2"/>
    </row>
    <row r="25" spans="1:2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  <c r="Q25" s="2"/>
      <c r="T25" s="2"/>
      <c r="U25" s="2"/>
      <c r="V25" s="2"/>
      <c r="W25" s="2"/>
      <c r="X25" s="2"/>
    </row>
    <row r="26" spans="1:2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/>
      <c r="Q26" s="2"/>
      <c r="T26" s="2"/>
      <c r="U26" s="2"/>
      <c r="V26" s="2"/>
      <c r="W26" s="2"/>
      <c r="X26" s="2"/>
    </row>
    <row r="27" spans="1:2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/>
      <c r="Q27" s="2"/>
      <c r="T27" s="2"/>
      <c r="U27" s="2"/>
      <c r="V27" s="2"/>
      <c r="W27" s="2"/>
      <c r="X27" s="2"/>
    </row>
    <row r="28" spans="1:2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/>
      <c r="Q28" s="2"/>
      <c r="T28" s="2"/>
      <c r="U28" s="2"/>
      <c r="V28" s="2"/>
      <c r="W28" s="2"/>
      <c r="X28" s="2"/>
    </row>
    <row r="29" spans="1:2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T29" s="2"/>
      <c r="U29" s="2"/>
      <c r="V29" s="2"/>
      <c r="W29" s="2"/>
      <c r="X29" s="2"/>
    </row>
    <row r="30" spans="1:2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/>
      <c r="Q30" s="2"/>
      <c r="T30" s="2"/>
      <c r="U30" s="2"/>
      <c r="V30" s="2"/>
      <c r="W30" s="2"/>
      <c r="X30" s="2"/>
    </row>
    <row r="31" spans="1:2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/>
      <c r="Q31" s="2"/>
      <c r="T31" s="2"/>
      <c r="U31" s="2"/>
      <c r="V31" s="2"/>
      <c r="W31" s="2"/>
      <c r="X31" s="2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  <c r="O32" s="2"/>
      <c r="P32" s="2"/>
      <c r="Q32" s="2"/>
      <c r="T32" s="2"/>
      <c r="U32" s="2"/>
      <c r="V32" s="2"/>
      <c r="W32" s="2"/>
      <c r="X32" s="2"/>
    </row>
  </sheetData>
  <mergeCells count="1">
    <mergeCell ref="B18:F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MRC / Cell Biology Unit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 Support</dc:creator>
  <cp:keywords/>
  <dc:description/>
  <cp:lastModifiedBy/>
  <cp:revision/>
  <dcterms:created xsi:type="dcterms:W3CDTF">2012-07-09T11:06:33Z</dcterms:created>
  <dcterms:modified xsi:type="dcterms:W3CDTF">2024-05-29T15:26:48Z</dcterms:modified>
  <cp:category/>
  <cp:contentStatus/>
</cp:coreProperties>
</file>